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5AA" lockStructure="1"/>
  <bookViews>
    <workbookView xWindow="165" yWindow="-15" windowWidth="11355" windowHeight="6945"/>
  </bookViews>
  <sheets>
    <sheet name="Home" sheetId="11" r:id="rId1"/>
    <sheet name="Data Input" sheetId="4" r:id="rId2"/>
    <sheet name="Drop Down" sheetId="1" state="hidden" r:id="rId3"/>
    <sheet name="Motor Efficiency Dashboard" sheetId="14" r:id="rId4"/>
    <sheet name="Example Data Input" sheetId="15" r:id="rId5"/>
  </sheets>
  <calcPr calcId="145621"/>
</workbook>
</file>

<file path=xl/calcChain.xml><?xml version="1.0" encoding="utf-8"?>
<calcChain xmlns="http://schemas.openxmlformats.org/spreadsheetml/2006/main">
  <c r="O10" i="15" l="1"/>
  <c r="L10" i="15"/>
  <c r="H10" i="15"/>
  <c r="F10" i="15"/>
  <c r="D10" i="15"/>
  <c r="AE9" i="15"/>
  <c r="AI9" i="15" s="1"/>
  <c r="AD9" i="15"/>
  <c r="AC9" i="15"/>
  <c r="V9" i="15"/>
  <c r="U9" i="15"/>
  <c r="M9" i="15"/>
  <c r="N9" i="15" s="1"/>
  <c r="G9" i="15"/>
  <c r="G10" i="15" s="1"/>
  <c r="B9" i="15"/>
  <c r="B10" i="15" s="1"/>
  <c r="W9" i="15" l="1"/>
  <c r="Y9" i="15" s="1"/>
  <c r="AH9" i="15" s="1"/>
  <c r="X9" i="15"/>
  <c r="N10" i="15"/>
  <c r="P10" i="15" s="1"/>
  <c r="P9" i="15"/>
  <c r="AG9" i="15" s="1"/>
  <c r="M10" i="15"/>
  <c r="G18" i="14"/>
  <c r="L25" i="4"/>
  <c r="G8" i="14"/>
  <c r="D25" i="4" l="1"/>
  <c r="C9" i="14" s="1"/>
  <c r="F25" i="4"/>
  <c r="O25" i="4"/>
  <c r="B9" i="4"/>
  <c r="B10" i="4"/>
  <c r="B11" i="4"/>
  <c r="B12" i="4"/>
  <c r="B13" i="4"/>
  <c r="B14" i="4"/>
  <c r="B15" i="4"/>
  <c r="B16" i="4"/>
  <c r="B17" i="4"/>
  <c r="B18" i="4"/>
  <c r="B19" i="4"/>
  <c r="B20" i="4"/>
  <c r="B21" i="4"/>
  <c r="B22" i="4"/>
  <c r="B23" i="4"/>
  <c r="B24" i="4"/>
  <c r="G24" i="4"/>
  <c r="M24" i="4"/>
  <c r="N24" i="4" s="1"/>
  <c r="U24" i="4"/>
  <c r="AC24" i="4"/>
  <c r="AE24" i="4" s="1"/>
  <c r="AI24" i="4" s="1"/>
  <c r="AD24" i="4"/>
  <c r="G16" i="4"/>
  <c r="M16" i="4"/>
  <c r="N16" i="4" s="1"/>
  <c r="P16" i="4" s="1"/>
  <c r="AG16" i="4" s="1"/>
  <c r="U16" i="4"/>
  <c r="AC16" i="4"/>
  <c r="AE16" i="4" s="1"/>
  <c r="AI16" i="4" s="1"/>
  <c r="AD16" i="4"/>
  <c r="M9" i="4"/>
  <c r="M10" i="4"/>
  <c r="N10" i="4" s="1"/>
  <c r="P10" i="4" s="1"/>
  <c r="AG10" i="4" s="1"/>
  <c r="M11" i="4"/>
  <c r="N11" i="4" s="1"/>
  <c r="M12" i="4"/>
  <c r="N12" i="4" s="1"/>
  <c r="P12" i="4" s="1"/>
  <c r="AG12" i="4" s="1"/>
  <c r="M13" i="4"/>
  <c r="N13" i="4" s="1"/>
  <c r="P13" i="4" s="1"/>
  <c r="AG13" i="4" s="1"/>
  <c r="M14" i="4"/>
  <c r="N14" i="4" s="1"/>
  <c r="P14" i="4" s="1"/>
  <c r="AG14" i="4" s="1"/>
  <c r="M15" i="4"/>
  <c r="N15" i="4" s="1"/>
  <c r="M17" i="4"/>
  <c r="N17" i="4" s="1"/>
  <c r="P17" i="4" s="1"/>
  <c r="AG17" i="4" s="1"/>
  <c r="M18" i="4"/>
  <c r="N18" i="4" s="1"/>
  <c r="P18" i="4" s="1"/>
  <c r="AG18" i="4" s="1"/>
  <c r="M19" i="4"/>
  <c r="N19" i="4" s="1"/>
  <c r="P19" i="4" s="1"/>
  <c r="AG19" i="4" s="1"/>
  <c r="M20" i="4"/>
  <c r="N20" i="4" s="1"/>
  <c r="M21" i="4"/>
  <c r="N21" i="4" s="1"/>
  <c r="P21" i="4" s="1"/>
  <c r="AG21" i="4" s="1"/>
  <c r="M22" i="4"/>
  <c r="N22" i="4" s="1"/>
  <c r="P22" i="4" s="1"/>
  <c r="AG22" i="4" s="1"/>
  <c r="M23" i="4"/>
  <c r="N23" i="4" s="1"/>
  <c r="P23" i="4" s="1"/>
  <c r="AG23" i="4" s="1"/>
  <c r="N9" i="4" l="1"/>
  <c r="P9" i="4" s="1"/>
  <c r="AG9" i="4" s="1"/>
  <c r="Y24" i="4"/>
  <c r="AH24" i="4" s="1"/>
  <c r="Y16" i="4"/>
  <c r="AH16" i="4" s="1"/>
  <c r="X24" i="4"/>
  <c r="V16" i="4"/>
  <c r="P24" i="4"/>
  <c r="AG24" i="4" s="1"/>
  <c r="M25" i="4"/>
  <c r="B25" i="4"/>
  <c r="X16" i="4"/>
  <c r="W24" i="4"/>
  <c r="V24" i="4"/>
  <c r="W16" i="4"/>
  <c r="P20" i="4"/>
  <c r="AG20" i="4" s="1"/>
  <c r="P11" i="4"/>
  <c r="AG11" i="4" s="1"/>
  <c r="P15" i="4"/>
  <c r="AG15" i="4" s="1"/>
  <c r="AD9" i="4"/>
  <c r="AD10" i="4"/>
  <c r="AD11" i="4"/>
  <c r="AD12" i="4"/>
  <c r="AD13" i="4"/>
  <c r="AD14" i="4"/>
  <c r="AD15" i="4"/>
  <c r="AD17" i="4"/>
  <c r="AD18" i="4"/>
  <c r="AD19" i="4"/>
  <c r="AD20" i="4"/>
  <c r="AD21" i="4"/>
  <c r="AD22" i="4"/>
  <c r="AD23" i="4"/>
  <c r="AC9" i="4"/>
  <c r="AC10" i="4"/>
  <c r="AC11" i="4"/>
  <c r="AC12" i="4"/>
  <c r="AC13" i="4"/>
  <c r="AC14" i="4"/>
  <c r="AC15" i="4"/>
  <c r="AC17" i="4"/>
  <c r="AE17" i="4" s="1"/>
  <c r="AI17" i="4" s="1"/>
  <c r="AC18" i="4"/>
  <c r="AC19" i="4"/>
  <c r="AC20" i="4"/>
  <c r="AE20" i="4" s="1"/>
  <c r="AI20" i="4" s="1"/>
  <c r="AC21" i="4"/>
  <c r="AC22" i="4"/>
  <c r="AC23" i="4"/>
  <c r="AE23" i="4" s="1"/>
  <c r="AI23" i="4" s="1"/>
  <c r="G17" i="4"/>
  <c r="U17" i="4"/>
  <c r="G20" i="4"/>
  <c r="U20" i="4"/>
  <c r="G23" i="4"/>
  <c r="U23" i="4"/>
  <c r="U9" i="4"/>
  <c r="U10" i="4"/>
  <c r="U11" i="4"/>
  <c r="U12" i="4"/>
  <c r="U13" i="4"/>
  <c r="U14" i="4"/>
  <c r="U15" i="4"/>
  <c r="U18" i="4"/>
  <c r="U19" i="4"/>
  <c r="U21" i="4"/>
  <c r="U22" i="4"/>
  <c r="N25" i="4" l="1"/>
  <c r="P25" i="4" s="1"/>
  <c r="Y18" i="4"/>
  <c r="AH18" i="4" s="1"/>
  <c r="Y17" i="4"/>
  <c r="AH17" i="4" s="1"/>
  <c r="Y19" i="4"/>
  <c r="AH19" i="4" s="1"/>
  <c r="Y13" i="4"/>
  <c r="AH13" i="4" s="1"/>
  <c r="Y12" i="4"/>
  <c r="AH12" i="4" s="1"/>
  <c r="Y22" i="4"/>
  <c r="AH22" i="4" s="1"/>
  <c r="Y15" i="4"/>
  <c r="AH15" i="4" s="1"/>
  <c r="Y11" i="4"/>
  <c r="AH11" i="4" s="1"/>
  <c r="Y23" i="4"/>
  <c r="AH23" i="4" s="1"/>
  <c r="Y21" i="4"/>
  <c r="AH21" i="4" s="1"/>
  <c r="Y14" i="4"/>
  <c r="AH14" i="4" s="1"/>
  <c r="Y10" i="4"/>
  <c r="AH10" i="4" s="1"/>
  <c r="Y20" i="4"/>
  <c r="AH20" i="4" s="1"/>
  <c r="G10" i="14"/>
  <c r="G11" i="14" s="1"/>
  <c r="G12" i="14"/>
  <c r="G9" i="14"/>
  <c r="C8" i="14"/>
  <c r="V11" i="4"/>
  <c r="V21" i="4"/>
  <c r="X20" i="4"/>
  <c r="W19" i="4"/>
  <c r="W13" i="4"/>
  <c r="V9" i="4"/>
  <c r="V18" i="4"/>
  <c r="V12" i="4"/>
  <c r="W23" i="4"/>
  <c r="V17" i="4"/>
  <c r="V22" i="4"/>
  <c r="V15" i="4"/>
  <c r="V14" i="4"/>
  <c r="V10" i="4"/>
  <c r="W17" i="4"/>
  <c r="X17" i="4"/>
  <c r="W20" i="4"/>
  <c r="V20" i="4"/>
  <c r="X23" i="4"/>
  <c r="V23" i="4"/>
  <c r="X15" i="4"/>
  <c r="X21" i="4"/>
  <c r="X10" i="4"/>
  <c r="W22" i="4"/>
  <c r="X14" i="4"/>
  <c r="X22" i="4"/>
  <c r="X11" i="4"/>
  <c r="W15" i="4"/>
  <c r="X19" i="4"/>
  <c r="X13" i="4"/>
  <c r="X9" i="4"/>
  <c r="W11" i="4"/>
  <c r="X18" i="4"/>
  <c r="X12" i="4"/>
  <c r="W14" i="4"/>
  <c r="W21" i="4"/>
  <c r="W10" i="4"/>
  <c r="W18" i="4"/>
  <c r="W12" i="4"/>
  <c r="W9" i="4"/>
  <c r="V13" i="4"/>
  <c r="V19" i="4"/>
  <c r="Y9" i="4" l="1"/>
  <c r="G13" i="14"/>
  <c r="AH9" i="4" l="1"/>
  <c r="C19" i="14"/>
  <c r="AE9" i="4"/>
  <c r="AI9" i="4" s="1"/>
  <c r="AE10" i="4"/>
  <c r="AI10" i="4" s="1"/>
  <c r="AE11" i="4"/>
  <c r="AI11" i="4" s="1"/>
  <c r="AE12" i="4"/>
  <c r="AI12" i="4" s="1"/>
  <c r="AE13" i="4"/>
  <c r="AI13" i="4" s="1"/>
  <c r="AE14" i="4"/>
  <c r="AI14" i="4" s="1"/>
  <c r="AE15" i="4"/>
  <c r="AI15" i="4" s="1"/>
  <c r="AE19" i="4"/>
  <c r="AI19" i="4" s="1"/>
  <c r="AE21" i="4"/>
  <c r="AI21" i="4" s="1"/>
  <c r="AE22" i="4"/>
  <c r="AI22" i="4" s="1"/>
  <c r="G9" i="4"/>
  <c r="G11" i="4"/>
  <c r="G12" i="4"/>
  <c r="G13" i="4"/>
  <c r="G14" i="4"/>
  <c r="G15" i="4"/>
  <c r="G18" i="4"/>
  <c r="G19" i="4"/>
  <c r="G21" i="4"/>
  <c r="G22" i="4"/>
  <c r="C18" i="14" l="1"/>
  <c r="AE18" i="4"/>
  <c r="AI18" i="4" s="1"/>
  <c r="G17" i="14" s="1"/>
  <c r="H25" i="4" l="1"/>
  <c r="C10" i="14" s="1"/>
  <c r="G25" i="4" l="1"/>
  <c r="C11" i="14" s="1"/>
  <c r="C12" i="14" s="1"/>
</calcChain>
</file>

<file path=xl/sharedStrings.xml><?xml version="1.0" encoding="utf-8"?>
<sst xmlns="http://schemas.openxmlformats.org/spreadsheetml/2006/main" count="148" uniqueCount="94">
  <si>
    <t>Annual Operation
[hrs/y]</t>
  </si>
  <si>
    <t>Select</t>
  </si>
  <si>
    <t>#</t>
  </si>
  <si>
    <t>Rated Motor Power
[kW]</t>
  </si>
  <si>
    <t>Motor Shaft Power
[kw]</t>
  </si>
  <si>
    <t>PKR/kWh</t>
  </si>
  <si>
    <t>kWh/y</t>
  </si>
  <si>
    <t>MPKR/y</t>
  </si>
  <si>
    <t>Column1</t>
  </si>
  <si>
    <r>
      <rPr>
        <b/>
        <sz val="11"/>
        <color theme="1"/>
        <rFont val="Calibri"/>
        <family val="2"/>
        <scheme val="minor"/>
      </rPr>
      <t xml:space="preserve">Introduction:
</t>
    </r>
    <r>
      <rPr>
        <sz val="11"/>
        <color theme="1"/>
        <rFont val="Calibri"/>
        <family val="2"/>
        <scheme val="minor"/>
      </rPr>
      <t>The Punjab Energy Efficiency and Conservation Authority (PEECA) of the Governnment of Punjab, Pakistan is working rigurously to improve energy efficiency and promote a culture of Energy Conservation in the province. To aide the efforts, PEECA has developed excel based self-assessment tools to calculate energy efficiency and enerrgy saving potentials in different industrial and commercial utilities.</t>
    </r>
  </si>
  <si>
    <t>MPKR</t>
  </si>
  <si>
    <t>Payback Period</t>
  </si>
  <si>
    <t>Months</t>
  </si>
  <si>
    <r>
      <rPr>
        <b/>
        <sz val="11"/>
        <color theme="1"/>
        <rFont val="Calibri"/>
        <family val="2"/>
        <scheme val="minor"/>
      </rPr>
      <t>Contact:</t>
    </r>
    <r>
      <rPr>
        <sz val="11"/>
        <color theme="1"/>
        <rFont val="Calibri"/>
        <family val="2"/>
        <scheme val="minor"/>
      </rPr>
      <t xml:space="preserve">
Users may contact following for any clarification, suggestion and/or improvement in this tool;</t>
    </r>
  </si>
  <si>
    <r>
      <rPr>
        <b/>
        <sz val="11"/>
        <color theme="1"/>
        <rFont val="Calibri"/>
        <family val="2"/>
        <scheme val="minor"/>
      </rPr>
      <t xml:space="preserve">Developer
</t>
    </r>
    <r>
      <rPr>
        <sz val="11"/>
        <color theme="1"/>
        <rFont val="Calibri"/>
        <family val="2"/>
        <scheme val="minor"/>
      </rPr>
      <t xml:space="preserve">M. Salman Butt
ESPIRE Consult
+92 305 555 2343
</t>
    </r>
    <r>
      <rPr>
        <u/>
        <sz val="11"/>
        <color theme="3"/>
        <rFont val="Calibri"/>
        <family val="2"/>
        <scheme val="minor"/>
      </rPr>
      <t xml:space="preserve">salman@espire.com.pk
</t>
    </r>
    <r>
      <rPr>
        <sz val="11"/>
        <color theme="1"/>
        <rFont val="Calibri"/>
        <family val="2"/>
        <scheme val="minor"/>
      </rPr>
      <t>198 A-1, M. A. Jauhar Town, Lahore, Pakistan</t>
    </r>
  </si>
  <si>
    <t>Motor Energy Efficiency Self-Assessment Tool</t>
  </si>
  <si>
    <t>Motor Data Sheet</t>
  </si>
  <si>
    <r>
      <t>Motor Temperature
[</t>
    </r>
    <r>
      <rPr>
        <sz val="11"/>
        <color theme="1"/>
        <rFont val="Calibri"/>
        <family val="2"/>
      </rPr>
      <t>⁰</t>
    </r>
    <r>
      <rPr>
        <sz val="11"/>
        <color theme="1"/>
        <rFont val="Calibri"/>
        <family val="2"/>
        <scheme val="minor"/>
      </rPr>
      <t>C]</t>
    </r>
  </si>
  <si>
    <t>Motor Insulation Class</t>
  </si>
  <si>
    <r>
      <rPr>
        <b/>
        <sz val="11"/>
        <color theme="1"/>
        <rFont val="Calibri"/>
        <family val="2"/>
        <scheme val="minor"/>
      </rPr>
      <t>References:</t>
    </r>
    <r>
      <rPr>
        <sz val="11"/>
        <color theme="1"/>
        <rFont val="Calibri"/>
        <family val="2"/>
        <scheme val="minor"/>
      </rPr>
      <t xml:space="preserve">
- Compressed Air Best Practice Tool; Sustainable Energy Authority of Ireland (seai)
- Recuperable heat from compressors, Energy Agency NRW
- Compressed Air Systems in the European Union, EU 2001
- International Energy Agency (IEA)
- Energy Markets International Limited
- ISO 11011 Compressed air – Energy Efficiency – Assessment
- Energy Efficiency Guide for Industry in Asia – www.energyefficiencyasia.org
- US Department of Energy  – www.eere.energy.gov/industry
- www.motorsmatters.org
- www.rapidtables.com
- www.easa.com
- www.electromotores.com
- Bureau of Energy Efficiency India</t>
    </r>
  </si>
  <si>
    <t>A</t>
  </si>
  <si>
    <t>B</t>
  </si>
  <si>
    <t>F</t>
  </si>
  <si>
    <t>H</t>
  </si>
  <si>
    <t>Insulation Class</t>
  </si>
  <si>
    <t>Motor Temperature</t>
  </si>
  <si>
    <t>1.00</t>
  </si>
  <si>
    <t>&gt;1</t>
  </si>
  <si>
    <t>Design Efficiency
[%]</t>
  </si>
  <si>
    <t>Average Load on motor
[%]</t>
  </si>
  <si>
    <t>Motor Code
[Identity]</t>
  </si>
  <si>
    <t>Measured Motor Power at Full Load
[kW]</t>
  </si>
  <si>
    <r>
      <t>Recommended Motor Temperature
[</t>
    </r>
    <r>
      <rPr>
        <sz val="11"/>
        <color theme="1"/>
        <rFont val="Calibri"/>
        <family val="2"/>
      </rPr>
      <t>⁰</t>
    </r>
    <r>
      <rPr>
        <sz val="11"/>
        <color theme="1"/>
        <rFont val="Calibri"/>
        <family val="2"/>
        <scheme val="minor"/>
      </rPr>
      <t>C]</t>
    </r>
  </si>
  <si>
    <t>Load</t>
  </si>
  <si>
    <t>Type of Load</t>
  </si>
  <si>
    <t>Variable</t>
  </si>
  <si>
    <t>Constant</t>
  </si>
  <si>
    <t>Motor Load Type
[Variable or Constant]</t>
  </si>
  <si>
    <t>Suggested temperature (SF &gt;1)</t>
  </si>
  <si>
    <t>Suggested temperature (SF &lt;1)</t>
  </si>
  <si>
    <t xml:space="preserve">Average Voltage </t>
  </si>
  <si>
    <r>
      <rPr>
        <sz val="11"/>
        <color theme="1"/>
        <rFont val="Calibri"/>
        <family val="2"/>
      </rPr>
      <t>Δ</t>
    </r>
    <r>
      <rPr>
        <sz val="11"/>
        <color theme="1"/>
        <rFont val="Calibri"/>
        <family val="2"/>
        <scheme val="minor"/>
      </rPr>
      <t>V1</t>
    </r>
  </si>
  <si>
    <t>ΔV2</t>
  </si>
  <si>
    <t>ΔV3</t>
  </si>
  <si>
    <t>Voltage Imbalance
[%]</t>
  </si>
  <si>
    <t>Motor Control</t>
  </si>
  <si>
    <t>Motor Controller</t>
  </si>
  <si>
    <t>R</t>
  </si>
  <si>
    <t>Y</t>
  </si>
  <si>
    <t>ELECTRICITY Price</t>
  </si>
  <si>
    <t>Energy Saving for Installing VFD
[kWh/y]</t>
  </si>
  <si>
    <t>Energy Saving for Installing VFD
[MPKR/y]</t>
  </si>
  <si>
    <t>VFD Installed or Not!</t>
  </si>
  <si>
    <t>Yes</t>
  </si>
  <si>
    <t>No</t>
  </si>
  <si>
    <t>Column5</t>
  </si>
  <si>
    <t>Column6</t>
  </si>
  <si>
    <t>Column8</t>
  </si>
  <si>
    <t>Column9</t>
  </si>
  <si>
    <t>Motor Parameters</t>
  </si>
  <si>
    <t>Phase Balance</t>
  </si>
  <si>
    <t>Recommendations</t>
  </si>
  <si>
    <t>Payback Period
[months]</t>
  </si>
  <si>
    <t>1</t>
  </si>
  <si>
    <t>2</t>
  </si>
  <si>
    <t>3</t>
  </si>
  <si>
    <t>M-Knit-0001</t>
  </si>
  <si>
    <r>
      <rPr>
        <b/>
        <sz val="11"/>
        <color theme="1"/>
        <rFont val="Calibri"/>
        <family val="2"/>
        <scheme val="minor"/>
      </rPr>
      <t>About this tool:</t>
    </r>
    <r>
      <rPr>
        <sz val="11"/>
        <color theme="1"/>
        <rFont val="Calibri"/>
        <family val="2"/>
        <scheme val="minor"/>
      </rPr>
      <t xml:space="preserve">
This tool calculates investigates motor performance and gives recommendations for Motor Control, Phase Balance and Motor Temperature.</t>
    </r>
  </si>
  <si>
    <t>Investment for VFD
[MPKR]</t>
  </si>
  <si>
    <t>Total No. of Motors</t>
  </si>
  <si>
    <t>Motors Without VFD</t>
  </si>
  <si>
    <t>No. of VFDs Recommended</t>
  </si>
  <si>
    <t>Energy Saving Potential</t>
  </si>
  <si>
    <t>Total Investment for VFD</t>
  </si>
  <si>
    <t>VFD Installation</t>
  </si>
  <si>
    <t>Max. allowable phase imbalance</t>
  </si>
  <si>
    <t>No. of Motors with high imbalance</t>
  </si>
  <si>
    <t>Phase Voltage Balance</t>
  </si>
  <si>
    <t>Total Installed Motor Capacity</t>
  </si>
  <si>
    <t>Average Running Hours</t>
  </si>
  <si>
    <t>hrs/y</t>
  </si>
  <si>
    <t>kW</t>
  </si>
  <si>
    <t>Total Energy Consumption</t>
  </si>
  <si>
    <t>Motor Data Summary</t>
  </si>
  <si>
    <t>No. of Motors with high temperature</t>
  </si>
  <si>
    <t xml:space="preserve">Max. calculated phase imbalance </t>
  </si>
  <si>
    <t>Max. measured motor temperature</t>
  </si>
  <si>
    <t>⁰C</t>
  </si>
  <si>
    <t>Motor Efficiency Dashboard</t>
  </si>
  <si>
    <t>Example Motor Data Sheet</t>
  </si>
  <si>
    <r>
      <rPr>
        <b/>
        <sz val="11"/>
        <color theme="1"/>
        <rFont val="Calibri"/>
        <family val="2"/>
        <scheme val="minor"/>
      </rPr>
      <t>Version Information:</t>
    </r>
    <r>
      <rPr>
        <sz val="11"/>
        <color theme="1"/>
        <rFont val="Calibri"/>
        <family val="2"/>
        <scheme val="minor"/>
      </rPr>
      <t xml:space="preserve">
Version No. V01_170301
Previous Version: N/A</t>
    </r>
  </si>
  <si>
    <r>
      <rPr>
        <b/>
        <sz val="11"/>
        <color theme="1"/>
        <rFont val="Calibri"/>
        <family val="2"/>
        <scheme val="minor"/>
      </rPr>
      <t>How to Use?</t>
    </r>
    <r>
      <rPr>
        <sz val="11"/>
        <color theme="1"/>
        <rFont val="Calibri"/>
        <family val="2"/>
        <scheme val="minor"/>
      </rPr>
      <t xml:space="preserve">
- Enter data in the "Data Input" sheet. Please refer to "Example Data Input" sheet for guidance to fill.
- Please add rows in "Data Input" sheet if required. To do so, please right click inside the table and click "Add Rows Above" or "Add Rows Below" whichever is applicable.
- Blue tab sheets show results of calculations.
- All Red labelled fields with white colored cells are data entry fields
- All blue labelled fields with Grey colored cells are Calculation and Output Fields.
- Please do not try to temper with any calculation cells as this will alter the results. Please contact PEECA or the developers for any alteration or change requests.
</t>
    </r>
  </si>
  <si>
    <r>
      <rPr>
        <b/>
        <sz val="11"/>
        <color theme="1"/>
        <rFont val="Calibri"/>
        <family val="2"/>
        <scheme val="minor"/>
      </rPr>
      <t xml:space="preserve">Disclaimer:
</t>
    </r>
    <r>
      <rPr>
        <sz val="11"/>
        <color theme="1"/>
        <rFont val="Calibri"/>
        <family val="2"/>
        <scheme val="minor"/>
      </rPr>
      <t>The information, calculations and conclusions in this tool are based on the sources as mentioned above. The tool has been field tested, however, qualified engineers must be consulted before makinng any decision based on these calculations. PEECA, Government of Punjab or the Developers accept no liability whatsoever to any person, company or entity for any injury, loss or damage that may arise in connection with any misuse or reliance on the information.
The tool is provided as a freeware. Users may make copies and distribute the tool without making any changes.</t>
    </r>
  </si>
  <si>
    <r>
      <rPr>
        <b/>
        <sz val="11"/>
        <color theme="1"/>
        <rFont val="Calibri"/>
        <family val="2"/>
        <scheme val="minor"/>
      </rPr>
      <t>Managing Director</t>
    </r>
    <r>
      <rPr>
        <sz val="11"/>
        <color theme="1"/>
        <rFont val="Calibri"/>
        <family val="2"/>
        <scheme val="minor"/>
      </rPr>
      <t xml:space="preserve">
Punjab Energy Efficiency and Conservation Agency (PEECA)
Energy Department, Government of the Punjab
</t>
    </r>
    <r>
      <rPr>
        <u/>
        <sz val="11"/>
        <color theme="3"/>
        <rFont val="Calibri"/>
        <family val="2"/>
        <scheme val="minor"/>
      </rPr>
      <t>md.peeca@energy.punjab.gov.pk</t>
    </r>
    <r>
      <rPr>
        <sz val="11"/>
        <color theme="1"/>
        <rFont val="Calibri"/>
        <family val="2"/>
        <scheme val="minor"/>
      </rPr>
      <t xml:space="preserve">
48-A, Block C-II, Ghalib Road, Gulberg-III, Lahore
Pakistan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</si>
</sst>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quot;#,##0_);[Red]\(&quot;$&quot;#,##0\)"/>
    <numFmt numFmtId="165" formatCode="_(&quot;$&quot;* #,##0.00_);_(&quot;$&quot;* \(#,##0.00\);_(&quot;$&quot;* &quot;-&quot;??_);_(@_)"/>
    <numFmt numFmtId="166" formatCode="_(* #,##0.00_);_(* \(#,##0.00\);_(* &quot;-&quot;??_);_(@_)"/>
    <numFmt numFmtId="167" formatCode="#,##0&quot; therms&quot;"/>
    <numFmt numFmtId="168" formatCode="#,##0&quot; kBtuh&quot;"/>
    <numFmt numFmtId="169" formatCode="#,##0&quot; kWh&quot;"/>
    <numFmt numFmtId="170" formatCode="#,##0&quot;W   &quot;"/>
    <numFmt numFmtId="171" formatCode="&quot;Equipment &quot;0.0&quot; W/sqft Typical&quot;"/>
    <numFmt numFmtId="172" formatCode="0.0000000000"/>
    <numFmt numFmtId="173" formatCode="0.00_)"/>
    <numFmt numFmtId="174" formatCode="#,##0\V"/>
    <numFmt numFmtId="175" formatCode="#,##0&quot; rpm&quot;"/>
    <numFmt numFmtId="176" formatCode="0&quot; gal&quot;"/>
    <numFmt numFmtId="177" formatCode="&quot;$&quot;#,##0_)&quot;   &quot;;\(&quot;$&quot;#,##0\)&quot;   &quot;"/>
    <numFmt numFmtId="178" formatCode="#,##0&quot; tons&quot;"/>
    <numFmt numFmtId="179" formatCode="#,##0&quot; kW&quot;"/>
    <numFmt numFmtId="180" formatCode="General&quot; hp&quot;"/>
    <numFmt numFmtId="181" formatCode="#,##0.00&quot; $&quot;;\-#,##0.00&quot; $&quot;"/>
    <numFmt numFmtId="182" formatCode="_-* #,##0.0_-;\-* #,##0.0_-;_-* &quot;-&quot;??_-;_-@_-"/>
    <numFmt numFmtId="183" formatCode="_(* #,##0.0_);_(* \-#,##0.0_);_(* &quot;-&quot;??_);_(@_)"/>
    <numFmt numFmtId="184" formatCode="0.0%"/>
  </numFmts>
  <fonts count="23">
    <font>
      <sz val="11"/>
      <color theme="1"/>
      <name val="Calibri"/>
      <family val="2"/>
      <scheme val="minor"/>
    </font>
    <font>
      <sz val="11"/>
      <color theme="1"/>
      <name val="Calibri"/>
      <family val="2"/>
      <scheme val="minor"/>
    </font>
    <font>
      <sz val="10"/>
      <name val="Helv"/>
    </font>
    <font>
      <sz val="10"/>
      <name val="Arial"/>
      <family val="2"/>
    </font>
    <font>
      <sz val="10"/>
      <color indexed="12"/>
      <name val="Arial"/>
      <family val="2"/>
    </font>
    <font>
      <sz val="8"/>
      <name val="Arial"/>
      <family val="2"/>
    </font>
    <font>
      <b/>
      <i/>
      <sz val="12"/>
      <name val="Arial"/>
      <family val="2"/>
    </font>
    <font>
      <sz val="10"/>
      <name val="Geneva"/>
      <family val="2"/>
    </font>
    <font>
      <sz val="11"/>
      <name val="??"/>
      <family val="3"/>
      <charset val="129"/>
    </font>
    <font>
      <b/>
      <u/>
      <sz val="11"/>
      <color indexed="37"/>
      <name val="Arial"/>
      <family val="2"/>
    </font>
    <font>
      <sz val="7"/>
      <name val="Small Fonts"/>
      <family val="2"/>
    </font>
    <font>
      <b/>
      <i/>
      <sz val="16"/>
      <name val="Helv"/>
    </font>
    <font>
      <sz val="8"/>
      <color indexed="12"/>
      <name val="Arial"/>
      <family val="2"/>
    </font>
    <font>
      <b/>
      <sz val="10"/>
      <color theme="1"/>
      <name val="Arial"/>
      <family val="2"/>
    </font>
    <font>
      <b/>
      <sz val="10"/>
      <color theme="0"/>
      <name val="Arial"/>
      <family val="2"/>
    </font>
    <font>
      <b/>
      <sz val="11"/>
      <color theme="0"/>
      <name val="Calibri"/>
      <family val="2"/>
      <scheme val="minor"/>
    </font>
    <font>
      <sz val="11"/>
      <color theme="1"/>
      <name val="Calibri"/>
      <family val="2"/>
    </font>
    <font>
      <b/>
      <sz val="11"/>
      <color theme="1"/>
      <name val="Calibri"/>
      <family val="2"/>
      <scheme val="minor"/>
    </font>
    <font>
      <b/>
      <sz val="16"/>
      <color theme="0"/>
      <name val="Calibri"/>
      <family val="2"/>
      <scheme val="minor"/>
    </font>
    <font>
      <u/>
      <sz val="11"/>
      <color theme="3"/>
      <name val="Calibri"/>
      <family val="2"/>
      <scheme val="minor"/>
    </font>
    <font>
      <b/>
      <sz val="10"/>
      <color theme="0"/>
      <name val="Arial"/>
    </font>
    <font>
      <sz val="11"/>
      <color theme="1"/>
      <name val="Calibri"/>
      <scheme val="minor"/>
    </font>
    <font>
      <sz val="11"/>
      <color theme="5" tint="-0.249977111117893"/>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theme="7"/>
        <bgColor indexed="64"/>
      </patternFill>
    </fill>
    <fill>
      <patternFill patternType="solid">
        <fgColor rgb="FFC7C8C9"/>
        <bgColor indexed="64"/>
      </patternFill>
    </fill>
    <fill>
      <patternFill patternType="solid">
        <fgColor theme="4" tint="-0.249977111117893"/>
        <bgColor indexed="64"/>
      </patternFill>
    </fill>
    <fill>
      <patternFill patternType="solid">
        <fgColor theme="0"/>
        <bgColor indexed="64"/>
      </patternFill>
    </fill>
    <fill>
      <patternFill patternType="solid">
        <fgColor theme="5"/>
        <bgColor indexed="64"/>
      </patternFill>
    </fill>
    <fill>
      <patternFill patternType="solid">
        <fgColor rgb="FF464749"/>
        <bgColor indexed="64"/>
      </patternFill>
    </fill>
    <fill>
      <patternFill patternType="solid">
        <fgColor theme="5"/>
        <bgColor theme="5"/>
      </patternFill>
    </fill>
    <fill>
      <patternFill patternType="solid">
        <fgColor theme="5" tint="-0.249977111117893"/>
        <bgColor indexed="64"/>
      </patternFill>
    </fill>
  </fills>
  <borders count="15">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theme="4"/>
      </left>
      <right/>
      <top/>
      <bottom/>
      <diagonal/>
    </border>
    <border>
      <left style="thin">
        <color indexed="64"/>
      </left>
      <right/>
      <top style="thin">
        <color indexed="64"/>
      </top>
      <bottom style="double">
        <color indexed="64"/>
      </bottom>
      <diagonal/>
    </border>
    <border>
      <left style="thin">
        <color theme="4"/>
      </left>
      <right style="thin">
        <color theme="4"/>
      </right>
      <top style="thin">
        <color theme="4"/>
      </top>
      <bottom style="thin">
        <color theme="4"/>
      </bottom>
      <diagonal/>
    </border>
    <border>
      <left style="thin">
        <color theme="5"/>
      </left>
      <right style="thin">
        <color theme="5"/>
      </right>
      <top style="thin">
        <color theme="5"/>
      </top>
      <bottom style="thin">
        <color theme="5"/>
      </bottom>
      <diagonal/>
    </border>
  </borders>
  <cellStyleXfs count="41">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172" fontId="7" fillId="4" borderId="6">
      <alignment horizontal="center" vertical="center"/>
    </xf>
    <xf numFmtId="17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4" fontId="8" fillId="0" borderId="0">
      <protection locked="0"/>
    </xf>
    <xf numFmtId="183" fontId="3" fillId="0" borderId="2" applyBorder="0" applyAlignment="0">
      <alignment vertical="center"/>
    </xf>
    <xf numFmtId="171" fontId="3" fillId="0" borderId="0" applyFont="0" applyFill="0" applyBorder="0" applyAlignment="0" applyProtection="0">
      <alignment horizontal="left"/>
    </xf>
    <xf numFmtId="182" fontId="3" fillId="0" borderId="0">
      <protection locked="0"/>
    </xf>
    <xf numFmtId="176" fontId="3" fillId="0" borderId="0" applyFont="0" applyFill="0" applyBorder="0" applyAlignment="0" applyProtection="0">
      <alignment horizontal="right"/>
    </xf>
    <xf numFmtId="38" fontId="5" fillId="2" borderId="0" applyNumberFormat="0" applyBorder="0" applyAlignment="0" applyProtection="0"/>
    <xf numFmtId="0" fontId="9" fillId="0" borderId="0" applyNumberFormat="0" applyFill="0" applyBorder="0" applyAlignment="0" applyProtection="0"/>
    <xf numFmtId="181" fontId="3" fillId="0" borderId="0">
      <protection locked="0"/>
    </xf>
    <xf numFmtId="181" fontId="3" fillId="0" borderId="0">
      <protection locked="0"/>
    </xf>
    <xf numFmtId="0" fontId="4" fillId="0" borderId="1" applyNumberFormat="0" applyFill="0" applyAlignment="0" applyProtection="0"/>
    <xf numFmtId="180" fontId="3" fillId="0" borderId="7">
      <alignment horizontal="center"/>
    </xf>
    <xf numFmtId="10" fontId="5" fillId="3" borderId="3" applyNumberFormat="0" applyBorder="0" applyAlignment="0" applyProtection="0"/>
    <xf numFmtId="168" fontId="3" fillId="0" borderId="0" applyFont="0" applyFill="0" applyBorder="0" applyAlignment="0" applyProtection="0">
      <alignment horizontal="right"/>
    </xf>
    <xf numFmtId="179" fontId="6" fillId="0" borderId="0" applyFont="0" applyFill="0" applyBorder="0" applyAlignment="0" applyProtection="0">
      <alignment horizontal="right"/>
    </xf>
    <xf numFmtId="169" fontId="3" fillId="0" borderId="0" applyFont="0" applyFill="0" applyBorder="0" applyAlignment="0" applyProtection="0">
      <alignment horizontal="right"/>
    </xf>
    <xf numFmtId="37" fontId="10" fillId="0" borderId="0"/>
    <xf numFmtId="173" fontId="11" fillId="0" borderId="0"/>
    <xf numFmtId="9" fontId="3" fillId="0" borderId="0" applyFont="0" applyFill="0" applyBorder="0" applyAlignment="0" applyProtection="0"/>
    <xf numFmtId="10" fontId="3" fillId="0" borderId="0" applyFont="0" applyFill="0" applyBorder="0" applyAlignment="0" applyProtection="0"/>
    <xf numFmtId="175" fontId="3" fillId="0" borderId="0" applyFont="0" applyFill="0" applyBorder="0" applyAlignment="0" applyProtection="0">
      <alignment horizontal="right"/>
    </xf>
    <xf numFmtId="167" fontId="6" fillId="0" borderId="0" applyFont="0" applyBorder="0" applyAlignment="0">
      <alignment horizontal="center"/>
    </xf>
    <xf numFmtId="178" fontId="3" fillId="0" borderId="0" applyFont="0" applyFill="0" applyBorder="0" applyAlignment="0" applyProtection="0">
      <alignment horizontal="right"/>
    </xf>
    <xf numFmtId="181" fontId="3" fillId="0" borderId="8">
      <protection locked="0"/>
    </xf>
    <xf numFmtId="37" fontId="5" fillId="5" borderId="0" applyNumberFormat="0" applyBorder="0" applyAlignment="0" applyProtection="0"/>
    <xf numFmtId="37" fontId="5" fillId="0" borderId="0"/>
    <xf numFmtId="3" fontId="12" fillId="0" borderId="1" applyProtection="0"/>
    <xf numFmtId="174" fontId="3" fillId="0" borderId="0" applyFont="0" applyFill="0" applyBorder="0" applyAlignment="0" applyProtection="0">
      <alignment horizontal="right"/>
    </xf>
    <xf numFmtId="170" fontId="3" fillId="0" borderId="0" applyFont="0" applyFill="0" applyBorder="0" applyAlignment="0" applyProtection="0">
      <alignment horizontal="right"/>
    </xf>
    <xf numFmtId="0" fontId="3"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cellStyleXfs>
  <cellXfs count="122">
    <xf numFmtId="0" fontId="0" fillId="0" borderId="0" xfId="0"/>
    <xf numFmtId="0" fontId="0" fillId="0" borderId="0" xfId="0"/>
    <xf numFmtId="0" fontId="0" fillId="0" borderId="0" xfId="0" applyAlignment="1">
      <alignment wrapText="1"/>
    </xf>
    <xf numFmtId="0" fontId="13" fillId="6" borderId="10" xfId="0" applyFont="1" applyFill="1" applyBorder="1" applyAlignment="1">
      <alignment horizontal="center"/>
    </xf>
    <xf numFmtId="0" fontId="14" fillId="6" borderId="8" xfId="0" applyFont="1" applyFill="1" applyBorder="1" applyAlignment="1">
      <alignment horizontal="center"/>
    </xf>
    <xf numFmtId="0" fontId="0" fillId="8" borderId="0" xfId="0" applyFill="1" applyAlignment="1">
      <alignment wrapText="1"/>
    </xf>
    <xf numFmtId="0" fontId="0" fillId="9" borderId="0" xfId="0" applyFill="1"/>
    <xf numFmtId="0" fontId="0" fillId="9" borderId="0" xfId="0" applyFill="1" applyBorder="1"/>
    <xf numFmtId="0" fontId="15" fillId="9" borderId="0" xfId="0" applyFont="1" applyFill="1" applyBorder="1" applyAlignment="1">
      <alignment wrapText="1"/>
    </xf>
    <xf numFmtId="0" fontId="0" fillId="9" borderId="0" xfId="0" applyFont="1" applyFill="1" applyBorder="1"/>
    <xf numFmtId="0" fontId="18" fillId="9" borderId="0" xfId="0" applyFont="1" applyFill="1" applyBorder="1" applyAlignment="1"/>
    <xf numFmtId="0" fontId="0" fillId="7" borderId="0" xfId="0" applyFill="1" applyProtection="1">
      <protection hidden="1"/>
    </xf>
    <xf numFmtId="0" fontId="0" fillId="7" borderId="0" xfId="0" applyNumberFormat="1" applyFill="1" applyProtection="1">
      <protection hidden="1"/>
    </xf>
    <xf numFmtId="0" fontId="20" fillId="6" borderId="8" xfId="0" applyFont="1" applyFill="1" applyBorder="1" applyAlignment="1">
      <alignment horizontal="center"/>
    </xf>
    <xf numFmtId="2" fontId="0" fillId="0" borderId="9" xfId="0" applyNumberFormat="1" applyBorder="1" applyAlignment="1">
      <alignment horizontal="center"/>
    </xf>
    <xf numFmtId="2" fontId="21" fillId="0" borderId="5" xfId="1" applyNumberFormat="1" applyFont="1" applyBorder="1" applyAlignment="1">
      <alignment horizontal="center"/>
    </xf>
    <xf numFmtId="2" fontId="21" fillId="0" borderId="3" xfId="1" applyNumberFormat="1" applyFont="1" applyBorder="1" applyAlignment="1">
      <alignment horizontal="center"/>
    </xf>
    <xf numFmtId="2" fontId="0" fillId="0" borderId="3" xfId="1" applyNumberFormat="1" applyFont="1" applyBorder="1"/>
    <xf numFmtId="9" fontId="0" fillId="0" borderId="0" xfId="0" applyNumberFormat="1" applyAlignment="1">
      <alignment horizontal="center"/>
    </xf>
    <xf numFmtId="0" fontId="14" fillId="6" borderId="12" xfId="0" applyFont="1" applyFill="1" applyBorder="1" applyAlignment="1">
      <alignment horizontal="center"/>
    </xf>
    <xf numFmtId="0" fontId="20" fillId="6" borderId="12" xfId="0" applyFont="1" applyFill="1" applyBorder="1" applyAlignment="1">
      <alignment horizontal="center"/>
    </xf>
    <xf numFmtId="0" fontId="14" fillId="6" borderId="4" xfId="0" applyFont="1" applyFill="1" applyBorder="1" applyAlignment="1"/>
    <xf numFmtId="0" fontId="14" fillId="9" borderId="0" xfId="0" applyFont="1" applyFill="1" applyBorder="1" applyAlignment="1"/>
    <xf numFmtId="2" fontId="0" fillId="7" borderId="0" xfId="0" applyNumberFormat="1" applyFill="1" applyProtection="1"/>
    <xf numFmtId="184" fontId="0" fillId="7" borderId="0" xfId="1" applyNumberFormat="1" applyFont="1" applyFill="1" applyAlignment="1" applyProtection="1">
      <alignment horizontal="right"/>
    </xf>
    <xf numFmtId="0" fontId="0" fillId="9" borderId="0" xfId="0" applyFill="1" applyProtection="1"/>
    <xf numFmtId="0" fontId="0" fillId="9" borderId="0" xfId="0" applyFill="1" applyBorder="1" applyProtection="1"/>
    <xf numFmtId="0" fontId="0" fillId="8" borderId="0" xfId="0" applyFill="1" applyAlignment="1" applyProtection="1">
      <alignment wrapText="1"/>
    </xf>
    <xf numFmtId="0" fontId="0" fillId="7" borderId="0" xfId="0" applyFill="1" applyProtection="1"/>
    <xf numFmtId="0" fontId="0" fillId="0" borderId="0" xfId="0" applyProtection="1"/>
    <xf numFmtId="0" fontId="18" fillId="9" borderId="0" xfId="0" applyFont="1" applyFill="1" applyBorder="1" applyAlignment="1">
      <alignment horizontal="center" vertical="center"/>
    </xf>
    <xf numFmtId="0" fontId="0" fillId="0" borderId="0" xfId="0" applyFont="1" applyBorder="1"/>
    <xf numFmtId="0" fontId="15" fillId="9" borderId="0" xfId="0" applyFont="1" applyFill="1" applyBorder="1" applyAlignment="1">
      <alignment horizontal="center"/>
    </xf>
    <xf numFmtId="0" fontId="0" fillId="13" borderId="0" xfId="0" applyFill="1" applyAlignment="1" applyProtection="1">
      <alignment wrapText="1"/>
    </xf>
    <xf numFmtId="184" fontId="0" fillId="13" borderId="0" xfId="1" applyNumberFormat="1" applyFont="1" applyFill="1" applyAlignment="1" applyProtection="1">
      <alignment horizontal="right"/>
    </xf>
    <xf numFmtId="0" fontId="0" fillId="13" borderId="0" xfId="0" applyFill="1" applyProtection="1"/>
    <xf numFmtId="0" fontId="22" fillId="13" borderId="0" xfId="0" applyFont="1" applyFill="1" applyAlignment="1" applyProtection="1">
      <alignment wrapText="1"/>
    </xf>
    <xf numFmtId="0" fontId="22" fillId="13" borderId="0" xfId="0" applyFont="1" applyFill="1" applyAlignment="1">
      <alignment wrapText="1"/>
    </xf>
    <xf numFmtId="184" fontId="0" fillId="7" borderId="0" xfId="0" applyNumberFormat="1" applyFill="1" applyProtection="1"/>
    <xf numFmtId="0" fontId="0" fillId="7" borderId="13" xfId="0" applyFill="1" applyBorder="1"/>
    <xf numFmtId="1" fontId="0" fillId="7" borderId="13" xfId="0" applyNumberFormat="1" applyFill="1" applyBorder="1"/>
    <xf numFmtId="2" fontId="0" fillId="7" borderId="13" xfId="0" applyNumberFormat="1" applyFill="1" applyBorder="1"/>
    <xf numFmtId="0" fontId="15" fillId="8" borderId="13" xfId="0" applyFont="1" applyFill="1" applyBorder="1"/>
    <xf numFmtId="184" fontId="0" fillId="7" borderId="13" xfId="1" applyNumberFormat="1" applyFont="1" applyFill="1" applyBorder="1"/>
    <xf numFmtId="2" fontId="0" fillId="7" borderId="13" xfId="1" applyNumberFormat="1" applyFont="1" applyFill="1" applyBorder="1"/>
    <xf numFmtId="1" fontId="0" fillId="9" borderId="0" xfId="0" applyNumberFormat="1" applyFill="1" applyAlignment="1">
      <alignment horizontal="center" vertical="center"/>
    </xf>
    <xf numFmtId="1" fontId="0" fillId="7" borderId="13" xfId="1" applyNumberFormat="1" applyFont="1" applyFill="1" applyBorder="1"/>
    <xf numFmtId="0" fontId="16" fillId="7" borderId="13" xfId="0" applyFont="1" applyFill="1" applyBorder="1"/>
    <xf numFmtId="3" fontId="0" fillId="7" borderId="0" xfId="0" applyNumberFormat="1" applyFill="1" applyProtection="1"/>
    <xf numFmtId="4" fontId="0" fillId="7" borderId="0" xfId="0" applyNumberFormat="1" applyFill="1" applyProtection="1"/>
    <xf numFmtId="2" fontId="0" fillId="7" borderId="0" xfId="0" applyNumberFormat="1" applyFont="1" applyFill="1" applyProtection="1"/>
    <xf numFmtId="9" fontId="22" fillId="13" borderId="0" xfId="0" applyNumberFormat="1" applyFont="1" applyFill="1" applyAlignment="1" applyProtection="1">
      <alignment horizontal="center"/>
    </xf>
    <xf numFmtId="0" fontId="0" fillId="0" borderId="0" xfId="0" applyNumberFormat="1" applyAlignment="1" applyProtection="1">
      <alignment horizontal="center"/>
    </xf>
    <xf numFmtId="3" fontId="0" fillId="13" borderId="0" xfId="0" applyNumberFormat="1" applyFill="1" applyProtection="1"/>
    <xf numFmtId="2" fontId="0" fillId="0" borderId="14" xfId="0" applyNumberFormat="1" applyFont="1" applyBorder="1" applyProtection="1">
      <protection locked="0"/>
    </xf>
    <xf numFmtId="0" fontId="0" fillId="9" borderId="14" xfId="0" applyFill="1" applyBorder="1"/>
    <xf numFmtId="0" fontId="0" fillId="7" borderId="14" xfId="0" applyFont="1" applyFill="1" applyBorder="1"/>
    <xf numFmtId="0" fontId="18" fillId="11" borderId="0" xfId="0" applyFont="1" applyFill="1" applyBorder="1" applyAlignment="1">
      <alignment horizontal="center"/>
    </xf>
    <xf numFmtId="0" fontId="15" fillId="13" borderId="0" xfId="0" applyFont="1" applyFill="1" applyBorder="1" applyAlignment="1">
      <alignment horizontal="center"/>
    </xf>
    <xf numFmtId="0" fontId="15" fillId="12" borderId="14" xfId="0" applyFont="1" applyFill="1" applyBorder="1" applyAlignment="1">
      <alignment horizontal="center" wrapText="1"/>
    </xf>
    <xf numFmtId="0" fontId="18" fillId="10" borderId="0" xfId="0" applyFont="1" applyFill="1" applyBorder="1" applyAlignment="1">
      <alignment horizontal="center" vertical="center"/>
    </xf>
    <xf numFmtId="0" fontId="15" fillId="13" borderId="0" xfId="0" applyFont="1" applyFill="1" applyAlignment="1">
      <alignment horizontal="center"/>
    </xf>
    <xf numFmtId="0" fontId="15" fillId="13" borderId="0" xfId="0" applyFont="1" applyFill="1" applyBorder="1" applyAlignment="1" applyProtection="1">
      <alignment horizontal="center"/>
    </xf>
    <xf numFmtId="0" fontId="14" fillId="6" borderId="4" xfId="0" applyFont="1" applyFill="1" applyBorder="1" applyAlignment="1">
      <alignment horizontal="center"/>
    </xf>
    <xf numFmtId="0" fontId="14" fillId="6" borderId="5" xfId="0" applyFont="1" applyFill="1" applyBorder="1" applyAlignment="1">
      <alignment horizontal="center"/>
    </xf>
    <xf numFmtId="0" fontId="15" fillId="8" borderId="11" xfId="0" applyFont="1" applyFill="1" applyBorder="1" applyAlignment="1">
      <alignment horizontal="center" vertical="center"/>
    </xf>
    <xf numFmtId="0" fontId="15" fillId="8" borderId="0" xfId="0" applyFont="1" applyFill="1" applyBorder="1" applyAlignment="1">
      <alignment horizontal="center" vertical="center"/>
    </xf>
    <xf numFmtId="0" fontId="18" fillId="8" borderId="0" xfId="0" applyFont="1" applyFill="1" applyBorder="1" applyAlignment="1">
      <alignment horizontal="center" vertical="center"/>
    </xf>
    <xf numFmtId="0" fontId="0" fillId="9" borderId="0" xfId="0" applyFill="1" applyAlignment="1">
      <alignment horizontal="justify" vertical="top" wrapText="1"/>
    </xf>
    <xf numFmtId="0" fontId="0" fillId="9" borderId="0" xfId="0" applyFill="1" applyAlignment="1">
      <alignment horizontal="justify" vertical="top"/>
    </xf>
    <xf numFmtId="0" fontId="0" fillId="9" borderId="0" xfId="0" applyFill="1" applyAlignment="1">
      <alignment horizontal="justify" vertical="top"/>
    </xf>
    <xf numFmtId="0" fontId="0" fillId="7" borderId="0" xfId="0" applyFill="1" applyAlignment="1" applyProtection="1">
      <alignment shrinkToFit="1"/>
      <protection hidden="1"/>
    </xf>
    <xf numFmtId="0" fontId="0" fillId="0" borderId="0" xfId="0" applyAlignment="1" applyProtection="1">
      <alignment shrinkToFit="1"/>
      <protection locked="0"/>
    </xf>
    <xf numFmtId="10" fontId="0" fillId="0" borderId="0" xfId="1" applyNumberFormat="1" applyFont="1" applyAlignment="1" applyProtection="1">
      <alignment shrinkToFit="1"/>
      <protection locked="0"/>
    </xf>
    <xf numFmtId="0" fontId="0" fillId="7" borderId="0" xfId="0" applyFill="1" applyAlignment="1">
      <alignment shrinkToFit="1"/>
    </xf>
    <xf numFmtId="0" fontId="0" fillId="13" borderId="0" xfId="0" applyFill="1" applyAlignment="1" applyProtection="1">
      <alignment shrinkToFit="1"/>
    </xf>
    <xf numFmtId="9" fontId="0" fillId="0" borderId="0" xfId="1" applyFont="1" applyAlignment="1" applyProtection="1">
      <alignment shrinkToFit="1"/>
      <protection locked="0"/>
    </xf>
    <xf numFmtId="3" fontId="0" fillId="7" borderId="0" xfId="0" applyNumberFormat="1" applyFill="1" applyAlignment="1" applyProtection="1">
      <alignment shrinkToFit="1"/>
    </xf>
    <xf numFmtId="4" fontId="0" fillId="7" borderId="0" xfId="0" applyNumberFormat="1" applyFill="1" applyAlignment="1" applyProtection="1">
      <alignment shrinkToFit="1"/>
    </xf>
    <xf numFmtId="2" fontId="0" fillId="9" borderId="0" xfId="0" applyNumberFormat="1" applyFill="1" applyAlignment="1" applyProtection="1">
      <alignment shrinkToFit="1"/>
      <protection locked="0"/>
    </xf>
    <xf numFmtId="2" fontId="0" fillId="7" borderId="0" xfId="0" applyNumberFormat="1" applyFill="1" applyAlignment="1" applyProtection="1">
      <alignment shrinkToFit="1"/>
    </xf>
    <xf numFmtId="184" fontId="0" fillId="7" borderId="0" xfId="1" applyNumberFormat="1" applyFont="1" applyFill="1" applyAlignment="1" applyProtection="1">
      <alignment horizontal="right" shrinkToFit="1"/>
    </xf>
    <xf numFmtId="184" fontId="0" fillId="13" borderId="0" xfId="1" applyNumberFormat="1" applyFont="1" applyFill="1" applyAlignment="1" applyProtection="1">
      <alignment horizontal="right" shrinkToFit="1"/>
    </xf>
    <xf numFmtId="0" fontId="0" fillId="7" borderId="0" xfId="0" applyFill="1" applyAlignment="1" applyProtection="1">
      <alignment shrinkToFit="1"/>
    </xf>
    <xf numFmtId="3" fontId="0" fillId="13" borderId="0" xfId="0" applyNumberFormat="1" applyFill="1" applyAlignment="1" applyProtection="1">
      <alignment shrinkToFit="1"/>
    </xf>
    <xf numFmtId="3" fontId="0" fillId="7" borderId="0" xfId="0" applyNumberFormat="1" applyFill="1" applyAlignment="1" applyProtection="1">
      <alignment horizontal="right" shrinkToFit="1"/>
    </xf>
    <xf numFmtId="4" fontId="0" fillId="7" borderId="0" xfId="0" applyNumberFormat="1" applyFill="1" applyAlignment="1" applyProtection="1">
      <alignment horizontal="right" shrinkToFit="1"/>
    </xf>
    <xf numFmtId="4" fontId="0" fillId="13" borderId="0" xfId="0" applyNumberFormat="1" applyFill="1" applyAlignment="1">
      <alignment horizontal="right" shrinkToFit="1"/>
    </xf>
    <xf numFmtId="0" fontId="0" fillId="7" borderId="0" xfId="0" applyNumberFormat="1" applyFill="1" applyAlignment="1" applyProtection="1">
      <alignment shrinkToFit="1"/>
      <protection hidden="1"/>
    </xf>
    <xf numFmtId="0" fontId="0" fillId="7" borderId="0" xfId="0" applyNumberFormat="1" applyFill="1" applyAlignment="1">
      <alignment shrinkToFit="1"/>
    </xf>
    <xf numFmtId="0" fontId="0" fillId="7" borderId="0" xfId="0" applyNumberFormat="1" applyFill="1" applyAlignment="1" applyProtection="1">
      <alignment shrinkToFit="1"/>
    </xf>
    <xf numFmtId="3" fontId="0" fillId="7" borderId="0" xfId="1" applyNumberFormat="1" applyFont="1" applyFill="1" applyAlignment="1" applyProtection="1">
      <alignment horizontal="right" shrinkToFit="1"/>
    </xf>
    <xf numFmtId="4" fontId="0" fillId="7" borderId="0" xfId="1" applyNumberFormat="1" applyFont="1" applyFill="1" applyAlignment="1" applyProtection="1">
      <alignment shrinkToFit="1"/>
    </xf>
    <xf numFmtId="4" fontId="0" fillId="7" borderId="0" xfId="1" applyNumberFormat="1" applyFont="1" applyFill="1" applyAlignment="1" applyProtection="1">
      <alignment horizontal="right" shrinkToFit="1"/>
    </xf>
    <xf numFmtId="184" fontId="0" fillId="7" borderId="0" xfId="0" applyNumberFormat="1" applyFill="1" applyAlignment="1">
      <alignment shrinkToFit="1"/>
    </xf>
    <xf numFmtId="2" fontId="0" fillId="7" borderId="0" xfId="0" applyNumberFormat="1" applyFill="1" applyAlignment="1">
      <alignment shrinkToFit="1"/>
    </xf>
    <xf numFmtId="9" fontId="0" fillId="7" borderId="0" xfId="0" applyNumberFormat="1" applyFont="1" applyFill="1" applyAlignment="1">
      <alignment shrinkToFit="1"/>
    </xf>
    <xf numFmtId="2" fontId="0" fillId="7" borderId="0" xfId="0" applyNumberFormat="1" applyFont="1" applyFill="1" applyAlignment="1" applyProtection="1">
      <alignment shrinkToFit="1"/>
    </xf>
    <xf numFmtId="2" fontId="0" fillId="7" borderId="0" xfId="0" applyNumberFormat="1" applyFont="1" applyFill="1" applyAlignment="1">
      <alignment shrinkToFit="1"/>
    </xf>
    <xf numFmtId="9" fontId="0" fillId="13" borderId="0" xfId="0" applyNumberFormat="1" applyFont="1" applyFill="1" applyAlignment="1">
      <alignment shrinkToFit="1"/>
    </xf>
    <xf numFmtId="184" fontId="0" fillId="7" borderId="0" xfId="0" applyNumberFormat="1" applyFill="1" applyAlignment="1" applyProtection="1">
      <alignment shrinkToFit="1"/>
    </xf>
    <xf numFmtId="0" fontId="0" fillId="13" borderId="0" xfId="0" applyFill="1" applyAlignment="1">
      <alignment shrinkToFit="1"/>
    </xf>
    <xf numFmtId="2" fontId="0" fillId="9" borderId="0" xfId="0" applyNumberFormat="1" applyFill="1" applyAlignment="1" applyProtection="1">
      <alignment horizontal="right" shrinkToFit="1"/>
      <protection locked="0"/>
    </xf>
    <xf numFmtId="0" fontId="18" fillId="11" borderId="0" xfId="0" applyFont="1" applyFill="1" applyBorder="1" applyAlignment="1" applyProtection="1">
      <alignment horizontal="center" vertical="center"/>
    </xf>
    <xf numFmtId="0" fontId="15" fillId="9" borderId="0" xfId="0" applyFont="1" applyFill="1" applyBorder="1" applyAlignment="1" applyProtection="1">
      <alignment wrapText="1"/>
    </xf>
    <xf numFmtId="0" fontId="18" fillId="9" borderId="0" xfId="0" applyFont="1" applyFill="1" applyBorder="1" applyAlignment="1" applyProtection="1">
      <alignment horizontal="center" vertical="center"/>
    </xf>
    <xf numFmtId="0" fontId="15" fillId="12" borderId="14" xfId="0" applyFont="1" applyFill="1" applyBorder="1" applyAlignment="1" applyProtection="1">
      <alignment horizontal="center" wrapText="1"/>
    </xf>
    <xf numFmtId="2" fontId="0" fillId="0" borderId="14" xfId="0" applyNumberFormat="1" applyFont="1" applyBorder="1" applyProtection="1"/>
    <xf numFmtId="0" fontId="0" fillId="9" borderId="14" xfId="0" applyFill="1" applyBorder="1" applyProtection="1"/>
    <xf numFmtId="0" fontId="0" fillId="7" borderId="14" xfId="0" applyFont="1" applyFill="1" applyBorder="1" applyProtection="1"/>
    <xf numFmtId="0" fontId="0" fillId="0" borderId="0" xfId="0" applyFont="1" applyBorder="1" applyProtection="1"/>
    <xf numFmtId="0" fontId="0" fillId="9" borderId="0" xfId="0" applyFont="1" applyFill="1" applyBorder="1" applyProtection="1"/>
    <xf numFmtId="0" fontId="15" fillId="13" borderId="0" xfId="0" applyFont="1" applyFill="1" applyAlignment="1" applyProtection="1">
      <alignment horizontal="center"/>
    </xf>
    <xf numFmtId="0" fontId="15" fillId="9" borderId="0" xfId="0" applyFont="1" applyFill="1" applyBorder="1" applyAlignment="1" applyProtection="1">
      <alignment horizontal="center"/>
    </xf>
    <xf numFmtId="0" fontId="0" fillId="0" borderId="0" xfId="0" applyAlignment="1" applyProtection="1">
      <alignment wrapText="1"/>
    </xf>
    <xf numFmtId="9" fontId="0" fillId="0" borderId="0" xfId="0" applyNumberFormat="1" applyAlignment="1" applyProtection="1">
      <alignment horizontal="center"/>
    </xf>
    <xf numFmtId="10" fontId="0" fillId="0" borderId="0" xfId="1" applyNumberFormat="1" applyFont="1" applyProtection="1"/>
    <xf numFmtId="9" fontId="0" fillId="0" borderId="0" xfId="1" applyFont="1" applyProtection="1"/>
    <xf numFmtId="2" fontId="0" fillId="9" borderId="0" xfId="0" applyNumberFormat="1" applyFill="1" applyProtection="1"/>
    <xf numFmtId="4" fontId="0" fillId="13" borderId="0" xfId="0" applyNumberFormat="1" applyFill="1" applyProtection="1"/>
    <xf numFmtId="9" fontId="0" fillId="7" borderId="0" xfId="0" applyNumberFormat="1" applyFont="1" applyFill="1" applyProtection="1"/>
    <xf numFmtId="9" fontId="0" fillId="13" borderId="0" xfId="0" applyNumberFormat="1" applyFont="1" applyFill="1" applyProtection="1"/>
  </cellXfs>
  <cellStyles count="41">
    <cellStyle name="_x0010_“+ˆÉ•?pý¤" xfId="4"/>
    <cellStyle name="Actual Date" xfId="5"/>
    <cellStyle name="Center" xfId="6"/>
    <cellStyle name="Comma 2" xfId="7"/>
    <cellStyle name="Currency 2" xfId="8"/>
    <cellStyle name="Date" xfId="9"/>
    <cellStyle name="eemdata" xfId="10"/>
    <cellStyle name="eqptdensity" xfId="11"/>
    <cellStyle name="Fixed" xfId="12"/>
    <cellStyle name="gal" xfId="13"/>
    <cellStyle name="Grey" xfId="14"/>
    <cellStyle name="HEADER" xfId="15"/>
    <cellStyle name="Heading1" xfId="16"/>
    <cellStyle name="Heading2" xfId="17"/>
    <cellStyle name="HIGHLIGHT" xfId="18"/>
    <cellStyle name="HP" xfId="19"/>
    <cellStyle name="Input [yellow]" xfId="20"/>
    <cellStyle name="kBtuh" xfId="21"/>
    <cellStyle name="kW" xfId="22"/>
    <cellStyle name="kWh" xfId="23"/>
    <cellStyle name="no dec" xfId="24"/>
    <cellStyle name="Normal" xfId="0" builtinId="0"/>
    <cellStyle name="Normal - Style1" xfId="25"/>
    <cellStyle name="Normal 2" xfId="2"/>
    <cellStyle name="Normal 3" xfId="3"/>
    <cellStyle name="Normal 4" xfId="37"/>
    <cellStyle name="Normal 5" xfId="40"/>
    <cellStyle name="Percent" xfId="1" builtinId="5"/>
    <cellStyle name="Percent [2]" xfId="27"/>
    <cellStyle name="Percent 2" xfId="26"/>
    <cellStyle name="Percent 3" xfId="39"/>
    <cellStyle name="Percent 4" xfId="38"/>
    <cellStyle name="rpm" xfId="28"/>
    <cellStyle name="therms" xfId="29"/>
    <cellStyle name="ton" xfId="30"/>
    <cellStyle name="Total 2" xfId="31"/>
    <cellStyle name="Unprot" xfId="32"/>
    <cellStyle name="Unprot$" xfId="33"/>
    <cellStyle name="Unprotect" xfId="34"/>
    <cellStyle name="volt" xfId="35"/>
    <cellStyle name="Watt" xfId="36"/>
  </cellStyles>
  <dxfs count="161">
    <dxf>
      <protection locked="1"/>
    </dxf>
    <dxf>
      <protection locked="1"/>
    </dxf>
    <dxf>
      <numFmt numFmtId="13" formatCode="0%"/>
      <alignment horizontal="center" vertical="bottom" textRotation="0" wrapText="0" indent="0" justifyLastLine="0" shrinkToFit="0" readingOrder="0"/>
      <protection locked="1"/>
    </dxf>
    <dxf>
      <fill>
        <patternFill patternType="solid">
          <fgColor indexed="64"/>
          <bgColor rgb="FFC7C8C9"/>
        </patternFill>
      </fill>
      <protection locked="1"/>
    </dxf>
    <dxf>
      <protection locked="1" hidden="0"/>
    </dxf>
    <dxf>
      <fill>
        <patternFill patternType="solid">
          <fgColor indexed="64"/>
          <bgColor rgb="FFC7C8C9"/>
        </patternFill>
      </fill>
      <protection locked="1"/>
    </dxf>
    <dxf>
      <numFmt numFmtId="3" formatCode="#,##0"/>
      <fill>
        <patternFill patternType="solid">
          <fgColor indexed="64"/>
          <bgColor rgb="FFC7C8C9"/>
        </patternFill>
      </fill>
      <protection locked="1" hidden="0"/>
    </dxf>
    <dxf>
      <fill>
        <patternFill patternType="solid">
          <fgColor indexed="64"/>
          <bgColor rgb="FFC7C8C9"/>
        </patternFill>
      </fill>
      <protection locked="1"/>
    </dxf>
    <dxf>
      <numFmt numFmtId="3" formatCode="#,##0"/>
      <fill>
        <patternFill patternType="solid">
          <fgColor indexed="64"/>
          <bgColor rgb="FFC7C8C9"/>
        </patternFill>
      </fill>
      <protection locked="1" hidden="0"/>
    </dxf>
    <dxf>
      <fill>
        <patternFill patternType="solid">
          <fgColor indexed="64"/>
          <bgColor rgb="FFC7C8C9"/>
        </patternFill>
      </fill>
      <protection locked="1"/>
    </dxf>
    <dxf>
      <numFmt numFmtId="3" formatCode="#,##0"/>
      <fill>
        <patternFill patternType="solid">
          <fgColor indexed="64"/>
          <bgColor rgb="FFC7C8C9"/>
        </patternFill>
      </fill>
      <protection locked="1" hidden="0"/>
    </dxf>
    <dxf>
      <fill>
        <patternFill patternType="solid">
          <fgColor indexed="64"/>
          <bgColor theme="5" tint="-0.249977111117893"/>
        </patternFill>
      </fill>
      <protection locked="1"/>
    </dxf>
    <dxf>
      <numFmt numFmtId="3" formatCode="#,##0"/>
      <fill>
        <patternFill patternType="solid">
          <fgColor indexed="64"/>
          <bgColor theme="5" tint="-0.249977111117893"/>
        </patternFill>
      </fill>
      <protection locked="1" hidden="0"/>
    </dxf>
    <dxf>
      <fill>
        <patternFill patternType="solid">
          <fgColor indexed="64"/>
          <bgColor rgb="FFC7C8C9"/>
        </patternFill>
      </fill>
      <protection locked="1" hidden="0"/>
    </dxf>
    <dxf>
      <numFmt numFmtId="0" formatCode="General"/>
      <fill>
        <patternFill patternType="solid">
          <fgColor indexed="64"/>
          <bgColor rgb="FFC7C8C9"/>
        </patternFill>
      </fill>
      <protection locked="1" hidden="0"/>
    </dxf>
    <dxf>
      <fill>
        <patternFill patternType="solid">
          <fgColor indexed="64"/>
          <bgColor rgb="FFC7C8C9"/>
        </patternFill>
      </fill>
      <protection locked="1" hidden="0"/>
    </dxf>
    <dxf>
      <numFmt numFmtId="0" formatCode="General"/>
      <fill>
        <patternFill patternType="solid">
          <fgColor indexed="64"/>
          <bgColor rgb="FFC7C8C9"/>
        </patternFill>
      </fill>
      <protection locked="1" hidden="0"/>
    </dxf>
    <dxf>
      <fill>
        <patternFill patternType="solid">
          <fgColor indexed="64"/>
          <bgColor rgb="FFC7C8C9"/>
        </patternFill>
      </fill>
      <protection locked="1" hidden="0"/>
    </dxf>
    <dxf>
      <numFmt numFmtId="0" formatCode="General"/>
      <fill>
        <patternFill patternType="solid">
          <fgColor indexed="64"/>
          <bgColor rgb="FFC7C8C9"/>
        </patternFill>
      </fill>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ill>
        <patternFill patternType="solid">
          <fgColor indexed="64"/>
          <bgColor theme="5" tint="-0.249977111117893"/>
        </patternFill>
      </fill>
      <protection locked="1" hidden="0"/>
    </dxf>
    <dxf>
      <font>
        <b val="0"/>
        <i val="0"/>
        <strike val="0"/>
        <condense val="0"/>
        <extend val="0"/>
        <outline val="0"/>
        <shadow val="0"/>
        <u val="none"/>
        <vertAlign val="baseline"/>
        <sz val="11"/>
        <color theme="1"/>
        <name val="Calibri"/>
        <scheme val="minor"/>
      </font>
      <numFmt numFmtId="184" formatCode="0.0%"/>
      <fill>
        <patternFill patternType="solid">
          <fgColor indexed="64"/>
          <bgColor theme="5" tint="-0.249977111117893"/>
        </patternFill>
      </fill>
      <alignment horizontal="right" vertical="bottom" textRotation="0" wrapText="0" indent="0" justifyLastLine="0" shrinkToFit="0" readingOrder="0"/>
      <protection locked="1" hidden="0"/>
    </dxf>
    <dxf>
      <numFmt numFmtId="184" formatCode="0.0%"/>
      <fill>
        <patternFill patternType="solid">
          <fgColor indexed="64"/>
          <bgColor rgb="FFC7C8C9"/>
        </patternFill>
      </fill>
      <protection locked="1" hidden="0"/>
    </dxf>
    <dxf>
      <numFmt numFmtId="184" formatCode="0.0%"/>
      <fill>
        <patternFill patternType="solid">
          <fgColor indexed="64"/>
          <bgColor rgb="FFC7C8C9"/>
        </patternFill>
      </fill>
      <alignment horizontal="right" vertical="bottom" textRotation="0" wrapText="0" indent="0" justifyLastLine="0" shrinkToFit="0" readingOrder="0"/>
      <protection locked="1" hidden="0"/>
    </dxf>
    <dxf>
      <fill>
        <patternFill patternType="solid">
          <fgColor indexed="64"/>
          <bgColor rgb="FFC7C8C9"/>
        </patternFill>
      </fill>
      <protection locked="1" hidden="0"/>
    </dxf>
    <dxf>
      <numFmt numFmtId="2" formatCode="0.00"/>
      <fill>
        <patternFill patternType="solid">
          <fgColor indexed="64"/>
          <bgColor rgb="FFC7C8C9"/>
        </patternFill>
      </fill>
      <protection locked="1" hidden="0"/>
    </dxf>
    <dxf>
      <fill>
        <patternFill patternType="solid">
          <fgColor indexed="64"/>
          <bgColor rgb="FFC7C8C9"/>
        </patternFill>
      </fill>
      <protection locked="1" hidden="0"/>
    </dxf>
    <dxf>
      <numFmt numFmtId="2" formatCode="0.00"/>
      <fill>
        <patternFill patternType="solid">
          <fgColor indexed="64"/>
          <bgColor rgb="FFC7C8C9"/>
        </patternFill>
      </fill>
      <protection locked="1" hidden="0"/>
    </dxf>
    <dxf>
      <fill>
        <patternFill patternType="solid">
          <fgColor indexed="64"/>
          <bgColor rgb="FFC7C8C9"/>
        </patternFill>
      </fill>
      <protection locked="1" hidden="0"/>
    </dxf>
    <dxf>
      <numFmt numFmtId="0" formatCode="General"/>
      <fill>
        <patternFill patternType="solid">
          <fgColor indexed="64"/>
          <bgColor rgb="FFC7C8C9"/>
        </patternFill>
      </fill>
      <protection locked="1" hidden="0"/>
    </dxf>
    <dxf>
      <fill>
        <patternFill patternType="solid">
          <fgColor indexed="64"/>
          <bgColor rgb="FFC7C8C9"/>
        </patternFill>
      </fill>
      <protection locked="1" hidden="0"/>
    </dxf>
    <dxf>
      <numFmt numFmtId="0" formatCode="General"/>
      <fill>
        <patternFill patternType="solid">
          <fgColor indexed="64"/>
          <bgColor rgb="FFC7C8C9"/>
        </patternFill>
      </fill>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ont>
        <b val="0"/>
        <i val="0"/>
        <strike val="0"/>
        <condense val="0"/>
        <extend val="0"/>
        <outline val="0"/>
        <shadow val="0"/>
        <u val="none"/>
        <vertAlign val="baseline"/>
        <sz val="11"/>
        <color theme="1"/>
        <name val="Calibri"/>
        <scheme val="minor"/>
      </font>
      <numFmt numFmtId="13" formatCode="0%"/>
      <fill>
        <patternFill patternType="solid">
          <fgColor indexed="64"/>
          <bgColor theme="5" tint="-0.249977111117893"/>
        </patternFill>
      </fill>
      <protection locked="1"/>
    </dxf>
    <dxf>
      <numFmt numFmtId="4" formatCode="#,##0.00"/>
      <fill>
        <patternFill patternType="solid">
          <fgColor indexed="64"/>
          <bgColor theme="5" tint="-0.249977111117893"/>
        </patternFill>
      </fill>
      <alignment horizontal="right" vertical="bottom" textRotation="0" wrapText="0" indent="0" justifyLastLine="0" shrinkToFit="0" readingOrder="0"/>
      <protection locked="1"/>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protection locked="1"/>
    </dxf>
    <dxf>
      <numFmt numFmtId="2" formatCode="0.0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rgb="FFC7C8C9"/>
        </patternFill>
      </fill>
      <protection locked="1" hidden="0"/>
    </dxf>
    <dxf>
      <font>
        <b val="0"/>
        <i val="0"/>
        <strike val="0"/>
        <condense val="0"/>
        <extend val="0"/>
        <outline val="0"/>
        <shadow val="0"/>
        <u val="none"/>
        <vertAlign val="baseline"/>
        <sz val="11"/>
        <color theme="1"/>
        <name val="Calibri"/>
        <scheme val="minor"/>
      </font>
      <numFmt numFmtId="13" formatCode="0%"/>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ill>
        <patternFill patternType="solid">
          <fgColor indexed="64"/>
          <bgColor theme="5" tint="-0.249977111117893"/>
        </patternFill>
      </fill>
      <protection locked="1" hidden="0"/>
    </dxf>
    <dxf>
      <fill>
        <patternFill patternType="solid">
          <fgColor indexed="64"/>
          <bgColor theme="5" tint="-0.249977111117893"/>
        </patternFill>
      </fill>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numFmt numFmtId="0" formatCode="General"/>
      <fill>
        <patternFill patternType="solid">
          <fgColor indexed="64"/>
          <bgColor rgb="FFC7C8C9"/>
        </patternFill>
      </fill>
      <protection locked="1"/>
    </dxf>
    <dxf>
      <numFmt numFmtId="2" formatCode="0.00"/>
      <fill>
        <patternFill patternType="solid">
          <fgColor indexed="64"/>
          <bgColor rgb="FFC7C8C9"/>
        </patternFill>
      </fill>
      <protection locked="1"/>
    </dxf>
    <dxf>
      <font>
        <b val="0"/>
        <i val="0"/>
        <strike val="0"/>
        <condense val="0"/>
        <extend val="0"/>
        <outline val="0"/>
        <shadow val="0"/>
        <u val="none"/>
        <vertAlign val="baseline"/>
        <sz val="11"/>
        <color theme="1"/>
        <name val="Calibri"/>
        <scheme val="minor"/>
      </font>
      <protection locked="1" hidden="0"/>
    </dxf>
    <dxf>
      <numFmt numFmtId="184" formatCode="0.0%"/>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fill>
        <patternFill patternType="solid">
          <fgColor indexed="64"/>
          <bgColor rgb="FFC7C8C9"/>
        </patternFill>
      </fill>
      <protection locked="1"/>
    </dxf>
    <dxf>
      <protection locked="1" hidden="0"/>
    </dxf>
    <dxf>
      <numFmt numFmtId="0" formatCode="General"/>
      <fill>
        <patternFill patternType="solid">
          <fgColor indexed="64"/>
          <bgColor rgb="FFC7C8C9"/>
        </patternFill>
      </fill>
      <protection locked="1" hidden="1"/>
    </dxf>
    <dxf>
      <numFmt numFmtId="0" formatCode="General"/>
      <fill>
        <patternFill patternType="solid">
          <fgColor indexed="64"/>
          <bgColor rgb="FFC7C8C9"/>
        </patternFill>
      </fill>
      <protection locked="1" hidden="1"/>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numFmt numFmtId="3" formatCode="#,##0"/>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dxf>
    <dxf>
      <numFmt numFmtId="3" formatCode="#,##0"/>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dxf>
    <dxf>
      <numFmt numFmtId="3" formatCode="#,##0"/>
      <fill>
        <patternFill patternType="solid">
          <fgColor indexed="64"/>
          <bgColor rgb="FFC7C8C9"/>
        </patternFill>
      </fill>
      <alignment vertical="bottom" textRotation="0" wrapText="0" justifyLastLine="0" shrinkToFit="1" readingOrder="0"/>
      <protection locked="1" hidden="0"/>
    </dxf>
    <dxf>
      <fill>
        <patternFill patternType="solid">
          <fgColor indexed="64"/>
          <bgColor theme="5" tint="-0.249977111117893"/>
        </patternFill>
      </fill>
      <alignment vertical="bottom" textRotation="0" wrapText="0" justifyLastLine="0" shrinkToFit="1" readingOrder="0"/>
    </dxf>
    <dxf>
      <numFmt numFmtId="3" formatCode="#,##0"/>
      <fill>
        <patternFill patternType="solid">
          <fgColor indexed="64"/>
          <bgColor theme="5" tint="-0.249977111117893"/>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0" formatCode="General"/>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0" formatCode="General"/>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0" formatCode="General"/>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theme="5" tint="-0.249977111117893"/>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184" formatCode="0.0%"/>
      <fill>
        <patternFill patternType="solid">
          <fgColor indexed="64"/>
          <bgColor theme="5" tint="-0.249977111117893"/>
        </patternFill>
      </fill>
      <alignment horizontal="right" vertical="bottom" textRotation="0" wrapText="0" indent="0" justifyLastLine="0" shrinkToFit="1" readingOrder="0"/>
      <protection locked="1" hidden="0"/>
    </dxf>
    <dxf>
      <numFmt numFmtId="184" formatCode="0.0%"/>
      <fill>
        <patternFill patternType="solid">
          <fgColor indexed="64"/>
          <bgColor rgb="FFC7C8C9"/>
        </patternFill>
      </fill>
      <alignment vertical="bottom" textRotation="0" wrapText="0" justifyLastLine="0" shrinkToFit="1" readingOrder="0"/>
      <protection locked="1" hidden="0"/>
    </dxf>
    <dxf>
      <numFmt numFmtId="184" formatCode="0.0%"/>
      <fill>
        <patternFill patternType="solid">
          <fgColor indexed="64"/>
          <bgColor rgb="FFC7C8C9"/>
        </patternFill>
      </fill>
      <alignment horizontal="right" vertical="bottom" textRotation="0" wrapText="0" inden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2" formatCode="0.00"/>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2" formatCode="0.00"/>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0" formatCode="General"/>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protection locked="1" hidden="0"/>
    </dxf>
    <dxf>
      <numFmt numFmtId="0" formatCode="General"/>
      <fill>
        <patternFill patternType="solid">
          <fgColor indexed="64"/>
          <bgColor rgb="FFC7C8C9"/>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ont>
        <b val="0"/>
        <i val="0"/>
        <strike val="0"/>
        <condense val="0"/>
        <extend val="0"/>
        <outline val="0"/>
        <shadow val="0"/>
        <u val="none"/>
        <vertAlign val="baseline"/>
        <sz val="11"/>
        <color theme="1"/>
        <name val="Calibri"/>
        <scheme val="minor"/>
      </font>
      <numFmt numFmtId="13" formatCode="0%"/>
      <fill>
        <patternFill patternType="solid">
          <fgColor indexed="64"/>
          <bgColor theme="5" tint="-0.249977111117893"/>
        </patternFill>
      </fill>
      <alignment vertical="bottom" textRotation="0" wrapText="0" justifyLastLine="0" shrinkToFit="1" readingOrder="0"/>
    </dxf>
    <dxf>
      <numFmt numFmtId="4" formatCode="#,##0.00"/>
      <fill>
        <patternFill patternType="solid">
          <fgColor indexed="64"/>
          <bgColor theme="5" tint="-0.249977111117893"/>
        </patternFill>
      </fill>
      <alignment horizontal="right" vertical="bottom" textRotation="0" wrapText="0" indent="0" justifyLastLine="0" shrinkToFit="1"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vertical="bottom" textRotation="0" wrapText="0" justifyLastLine="0" shrinkToFit="1" readingOrder="0"/>
    </dxf>
    <dxf>
      <numFmt numFmtId="2" formatCode="0.00"/>
      <fill>
        <patternFill patternType="solid">
          <fgColor indexed="64"/>
          <bgColor theme="0"/>
        </patternFill>
      </fill>
      <alignment vertical="bottom" textRotation="0" wrapText="0" justifyLastLine="0" shrinkToFit="1" readingOrder="0"/>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rgb="FFC7C8C9"/>
        </patternFill>
      </fill>
      <alignment vertical="bottom" textRotation="0" wrapText="0" justifyLastLine="0" shrinkToFit="1" readingOrder="0"/>
      <protection locked="1" hidden="0"/>
    </dxf>
    <dxf>
      <font>
        <b val="0"/>
        <i val="0"/>
        <strike val="0"/>
        <condense val="0"/>
        <extend val="0"/>
        <outline val="0"/>
        <shadow val="0"/>
        <u val="none"/>
        <vertAlign val="baseline"/>
        <sz val="11"/>
        <color theme="1"/>
        <name val="Calibri"/>
        <scheme val="minor"/>
      </font>
      <numFmt numFmtId="13" formatCode="0%"/>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theme="5" tint="-0.249977111117893"/>
        </patternFill>
      </fill>
      <alignment vertical="bottom" textRotation="0" wrapText="0" justifyLastLine="0" shrinkToFit="1" readingOrder="0"/>
      <protection locked="1" hidden="0"/>
    </dxf>
    <dxf>
      <fill>
        <patternFill patternType="solid">
          <fgColor indexed="64"/>
          <bgColor theme="5" tint="-0.249977111117893"/>
        </patternFill>
      </fill>
      <alignment vertical="bottom" textRotation="0" wrapText="0" justifyLastLine="0" shrinkToFit="1" readingOrder="0"/>
      <protection locked="1"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numFmt numFmtId="0" formatCode="General"/>
      <fill>
        <patternFill patternType="solid">
          <fgColor indexed="64"/>
          <bgColor rgb="FFC7C8C9"/>
        </patternFill>
      </fill>
      <alignment vertical="bottom" textRotation="0" wrapText="0" justifyLastLine="0" shrinkToFit="1" readingOrder="0"/>
    </dxf>
    <dxf>
      <numFmt numFmtId="2" formatCode="0.00"/>
      <fill>
        <patternFill patternType="solid">
          <fgColor indexed="64"/>
          <bgColor rgb="FFC7C8C9"/>
        </patternFill>
      </fill>
      <alignment vertical="bottom" textRotation="0" wrapText="0" justifyLastLine="0" shrinkToFit="1" readingOrder="0"/>
    </dxf>
    <dxf>
      <font>
        <b val="0"/>
        <i val="0"/>
        <strike val="0"/>
        <condense val="0"/>
        <extend val="0"/>
        <outline val="0"/>
        <shadow val="0"/>
        <u val="none"/>
        <vertAlign val="baseline"/>
        <sz val="11"/>
        <color theme="1"/>
        <name val="Calibri"/>
        <scheme val="minor"/>
      </font>
      <alignment vertical="bottom" textRotation="0" wrapText="0" justifyLastLine="0" shrinkToFit="1" readingOrder="0"/>
      <protection locked="0" hidden="0"/>
    </dxf>
    <dxf>
      <numFmt numFmtId="184" formatCode="0.0%"/>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fill>
        <patternFill patternType="solid">
          <fgColor indexed="64"/>
          <bgColor rgb="FFC7C8C9"/>
        </patternFill>
      </fill>
      <alignment vertical="bottom" textRotation="0" wrapText="0" justifyLastLine="0" shrinkToFit="1" readingOrder="0"/>
    </dxf>
    <dxf>
      <alignment vertical="bottom" textRotation="0" wrapText="0" justifyLastLine="0" shrinkToFit="1" readingOrder="0"/>
      <protection locked="0" hidden="0"/>
    </dxf>
    <dxf>
      <numFmt numFmtId="0" formatCode="General"/>
      <fill>
        <patternFill patternType="solid">
          <fgColor indexed="64"/>
          <bgColor rgb="FFC7C8C9"/>
        </patternFill>
      </fill>
      <alignment vertical="bottom" textRotation="0" wrapText="0" justifyLastLine="0" shrinkToFit="1" readingOrder="0"/>
      <protection locked="1" hidden="1"/>
    </dxf>
    <dxf>
      <numFmt numFmtId="0" formatCode="General"/>
      <fill>
        <patternFill patternType="solid">
          <fgColor indexed="64"/>
          <bgColor rgb="FFC7C8C9"/>
        </patternFill>
      </fill>
      <alignment vertical="bottom" textRotation="0" wrapText="0" justifyLastLine="0" shrinkToFit="1" readingOrder="0"/>
      <protection locked="1" hidden="1"/>
    </dxf>
    <dxf>
      <fill>
        <patternFill>
          <bgColor rgb="FFC7C9CB"/>
        </patternFill>
      </fill>
    </dxf>
    <dxf>
      <font>
        <b/>
        <i val="0"/>
        <strike val="0"/>
        <color theme="0"/>
      </font>
      <fill>
        <patternFill>
          <bgColor theme="9" tint="-0.24994659260841701"/>
        </patternFill>
      </fill>
    </dxf>
    <dxf>
      <font>
        <b/>
        <i val="0"/>
        <color theme="0"/>
      </font>
      <fill>
        <patternFill>
          <bgColor theme="9" tint="-0.24994659260841701"/>
        </patternFill>
      </fill>
    </dxf>
    <dxf>
      <fill>
        <patternFill>
          <bgColor rgb="FFC7C9CB"/>
        </patternFill>
      </fill>
    </dxf>
    <dxf>
      <font>
        <b/>
        <i val="0"/>
        <strike val="0"/>
        <color theme="0"/>
      </font>
      <fill>
        <patternFill>
          <bgColor theme="9" tint="-0.24994659260841701"/>
        </patternFill>
      </fill>
    </dxf>
    <dxf>
      <font>
        <b/>
        <i val="0"/>
        <color theme="0"/>
      </font>
      <fill>
        <patternFill>
          <bgColor theme="9" tint="-0.24994659260841701"/>
        </patternFill>
      </fill>
    </dxf>
    <dxf>
      <font>
        <b val="0"/>
        <i val="0"/>
        <strike val="0"/>
        <condense val="0"/>
        <extend val="0"/>
        <outline val="0"/>
        <shadow val="0"/>
        <u val="none"/>
        <vertAlign val="baseline"/>
        <sz val="11"/>
        <color theme="1"/>
        <name val="Calibri"/>
        <scheme val="minor"/>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0"/>
        <name val="Arial"/>
        <scheme val="none"/>
      </font>
      <fill>
        <patternFill patternType="solid">
          <fgColor indexed="64"/>
          <bgColor theme="7"/>
        </patternFill>
      </fill>
      <alignment horizontal="center" vertical="bottom" textRotation="0" wrapText="0" indent="0" justifyLastLine="0" shrinkToFit="0" readingOrder="0"/>
      <border diagonalUp="0" diagonalDown="0" outline="0">
        <left/>
        <right/>
        <top style="thin">
          <color indexed="64"/>
        </top>
        <bottom style="double">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scheme val="minor"/>
      </font>
    </dxf>
    <dxf>
      <numFmt numFmtId="13" formatCode="0%"/>
      <alignment horizontal="center" vertical="bottom"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bottom" textRotation="0" wrapText="0" indent="0" justifyLastLine="0" shrinkToFit="0" readingOrder="0"/>
    </dxf>
    <dxf>
      <font>
        <b/>
        <i val="0"/>
        <color theme="0"/>
      </font>
      <fill>
        <patternFill>
          <bgColor theme="4"/>
        </patternFill>
      </fill>
    </dxf>
    <dxf>
      <border>
        <left style="thin">
          <color theme="4"/>
        </left>
        <right style="thin">
          <color theme="4"/>
        </right>
        <top style="thin">
          <color theme="4"/>
        </top>
        <bottom style="thin">
          <color theme="4"/>
        </bottom>
        <vertical style="thin">
          <color theme="4"/>
        </vertical>
        <horizontal style="thin">
          <color theme="4"/>
        </horizontal>
      </border>
    </dxf>
    <dxf>
      <font>
        <color theme="0"/>
      </font>
      <fill>
        <patternFill>
          <bgColor theme="4"/>
        </patternFill>
      </fill>
    </dxf>
    <dxf>
      <font>
        <b/>
        <i val="0"/>
        <color theme="0"/>
      </font>
      <fill>
        <patternFill>
          <bgColor theme="4"/>
        </patternFill>
      </fill>
      <border>
        <left style="thin">
          <color theme="4"/>
        </left>
        <right style="thin">
          <color theme="4"/>
        </right>
        <top style="thin">
          <color theme="4"/>
        </top>
        <bottom style="thin">
          <color theme="4"/>
        </bottom>
        <vertical style="thin">
          <color theme="4"/>
        </vertical>
        <horizontal style="thin">
          <color theme="4"/>
        </horizontal>
      </border>
    </dxf>
    <dxf>
      <fill>
        <patternFill>
          <bgColor rgb="FFC7C9CB"/>
        </patternFill>
      </fill>
      <border>
        <left style="thin">
          <color theme="4"/>
        </left>
        <right style="thin">
          <color theme="4"/>
        </right>
        <top style="thin">
          <color theme="4"/>
        </top>
        <bottom style="thin">
          <color theme="4"/>
        </bottom>
        <vertical style="thin">
          <color theme="4"/>
        </vertical>
        <horizontal style="thin">
          <color theme="4"/>
        </horizontal>
      </border>
    </dxf>
  </dxfs>
  <tableStyles count="3" defaultTableStyle="Header Column" defaultPivotStyle="PivotStyleLight16">
    <tableStyle name="Header Column" pivot="0" count="2">
      <tableStyleElement type="wholeTable" dxfId="160"/>
      <tableStyleElement type="firstColumn" dxfId="159"/>
    </tableStyle>
    <tableStyle name="Table Style 1" pivot="0" count="1">
      <tableStyleElement type="firstColumnStripe" dxfId="158"/>
    </tableStyle>
    <tableStyle name="Table Style 2" pivot="0" count="2">
      <tableStyleElement type="wholeTable" dxfId="157"/>
      <tableStyleElement type="firstColumn" dxfId="156"/>
    </tableStyle>
  </tableStyles>
  <colors>
    <mruColors>
      <color rgb="FF464749"/>
      <color rgb="FFC7C9CB"/>
      <color rgb="FFC7C8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11</xdr:col>
      <xdr:colOff>190500</xdr:colOff>
      <xdr:row>0</xdr:row>
      <xdr:rowOff>123825</xdr:rowOff>
    </xdr:from>
    <xdr:to>
      <xdr:col>12</xdr:col>
      <xdr:colOff>323850</xdr:colOff>
      <xdr:row>3</xdr:row>
      <xdr:rowOff>161147</xdr:rowOff>
    </xdr:to>
    <xdr:pic>
      <xdr:nvPicPr>
        <xdr:cNvPr id="4" name="Picture 3"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6543675" y="123825"/>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12</xdr:col>
      <xdr:colOff>390524</xdr:colOff>
      <xdr:row>0</xdr:row>
      <xdr:rowOff>123825</xdr:rowOff>
    </xdr:from>
    <xdr:to>
      <xdr:col>13</xdr:col>
      <xdr:colOff>554901</xdr:colOff>
      <xdr:row>3</xdr:row>
      <xdr:rowOff>149485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7353299" y="123825"/>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133351</xdr:colOff>
      <xdr:row>0</xdr:row>
      <xdr:rowOff>57150</xdr:rowOff>
    </xdr:from>
    <xdr:to>
      <xdr:col>2</xdr:col>
      <xdr:colOff>457201</xdr:colOff>
      <xdr:row>4</xdr:row>
      <xdr:rowOff>18272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85751" y="571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523875</xdr:colOff>
      <xdr:row>0</xdr:row>
      <xdr:rowOff>57150</xdr:rowOff>
    </xdr:from>
    <xdr:to>
      <xdr:col>2</xdr:col>
      <xdr:colOff>1297852</xdr:colOff>
      <xdr:row>4</xdr:row>
      <xdr:rowOff>6610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95375" y="571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142875</xdr:colOff>
      <xdr:row>0</xdr:row>
      <xdr:rowOff>95250</xdr:rowOff>
    </xdr:from>
    <xdr:to>
      <xdr:col>1</xdr:col>
      <xdr:colOff>885825</xdr:colOff>
      <xdr:row>3</xdr:row>
      <xdr:rowOff>180197</xdr:rowOff>
    </xdr:to>
    <xdr:pic>
      <xdr:nvPicPr>
        <xdr:cNvPr id="6" name="Picture 5"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76225" y="952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xdr:col>
      <xdr:colOff>952499</xdr:colOff>
      <xdr:row>0</xdr:row>
      <xdr:rowOff>95250</xdr:rowOff>
    </xdr:from>
    <xdr:to>
      <xdr:col>1</xdr:col>
      <xdr:colOff>1726476</xdr:colOff>
      <xdr:row>3</xdr:row>
      <xdr:rowOff>168535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85849" y="952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133351</xdr:colOff>
      <xdr:row>0</xdr:row>
      <xdr:rowOff>57150</xdr:rowOff>
    </xdr:from>
    <xdr:to>
      <xdr:col>2</xdr:col>
      <xdr:colOff>457201</xdr:colOff>
      <xdr:row>4</xdr:row>
      <xdr:rowOff>18272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85751" y="571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523875</xdr:colOff>
      <xdr:row>0</xdr:row>
      <xdr:rowOff>57150</xdr:rowOff>
    </xdr:from>
    <xdr:to>
      <xdr:col>2</xdr:col>
      <xdr:colOff>1297852</xdr:colOff>
      <xdr:row>4</xdr:row>
      <xdr:rowOff>6610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95375" y="571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B8:AJ25" totalsRowCount="1" headerRowDxfId="155">
  <autoFilter ref="B8:AJ24"/>
  <tableColumns count="35">
    <tableColumn id="1" name="#" totalsRowFunction="countNums" dataDxfId="142" totalsRowDxfId="141">
      <calculatedColumnFormula>IF(Table3[[#This Row],[Rated Motor Power
'[kW']]]&gt;0,ROW(Table3[[#This Row],[Motor Code
'[Identity']]])-ROW(Table3[[#Headers],[Motor Code
'[Identity']]]),"")</calculatedColumnFormula>
    </tableColumn>
    <tableColumn id="2" name="Motor Code_x000a_[Identity]" dataDxfId="140" totalsRowDxfId="139"/>
    <tableColumn id="3" name="Rated Motor Power_x000a_[kW]" totalsRowFunction="sum" dataDxfId="138" totalsRowDxfId="137"/>
    <tableColumn id="5" name="Design Efficiency_x000a_[%]" dataDxfId="136" totalsRowDxfId="135" dataCellStyle="Percent"/>
    <tableColumn id="20" name="Measured Motor Power at Full Load_x000a_[kW]" totalsRowFunction="sum" dataDxfId="134" totalsRowDxfId="133" dataCellStyle="Percent"/>
    <tableColumn id="23" name="Motor Shaft Power_x000a_[kw]" totalsRowFunction="sum" dataDxfId="132" totalsRowDxfId="131">
      <calculatedColumnFormula>IF(Table3[[#This Row],[Measured Motor Power at Full Load
'[kW']]]=0,Table3[[#This Row],[Rated Motor Power
'[kW']]]*Table3[[#This Row],[Design Efficiency
'[%']]],Table3[[#This Row],[Measured Motor Power at Full Load
'[kW']]])</calculatedColumnFormula>
    </tableColumn>
    <tableColumn id="7" name="Annual Operation_x000a_[hrs/y]" totalsRowFunction="average" dataDxfId="130" totalsRowDxfId="129"/>
    <tableColumn id="36" name="Column8" dataDxfId="128" totalsRowDxfId="127"/>
    <tableColumn id="35" name="VFD Installed or Not!" dataDxfId="126" totalsRowDxfId="125"/>
    <tableColumn id="4" name="Motor Load Type_x000a_[Variable or Constant]" dataDxfId="124" totalsRowDxfId="123"/>
    <tableColumn id="22" name="Average Load on motor_x000a_[%]" totalsRowFunction="average" dataDxfId="122" totalsRowDxfId="121" dataCellStyle="Percent"/>
    <tableColumn id="21" name="Energy Saving for Installing VFD_x000a_[kWh/y]" totalsRowFunction="sum" dataDxfId="120" totalsRowDxfId="119" dataCellStyle="Percent">
      <calculatedColumnFormula>IF(Table3[[#This Row],[VFD Installed or Not!]]="No", IF(Table3[[#This Row],[Motor Load Type
'[Variable or Constant']]]="Variable",(Table3[[#This Row],[Rated Motor Power
'[kW']]]/Table3[[#This Row],[Design Efficiency
'[%']]]*0.7*0.96*(1-Table3[[#This Row],[Average Load on motor
'[%']]])*Table3[[#This Row],[Annual Operation
'[hrs/y']]]),"N/A"),"N/A")</calculatedColumnFormula>
    </tableColumn>
    <tableColumn id="19" name="Energy Saving for Installing VFD_x000a_[MPKR/y]" totalsRowFunction="sum" dataDxfId="118" totalsRowDxfId="117" dataCellStyle="Percent">
      <calculatedColumnFormula>IF(Table3[[#This Row],[Energy Saving for Installing VFD
'[kWh/y']]]="N/A",0,Table3[[#This Row],[Energy Saving for Installing VFD
'[kWh/y']]]*$F$5)/1000000</calculatedColumnFormula>
    </tableColumn>
    <tableColumn id="24" name="Investment for VFD_x000a_[MPKR]" totalsRowFunction="sum" dataDxfId="116" totalsRowDxfId="115"/>
    <tableColumn id="15" name="Payback Period_x000a_[months]" totalsRowFunction="custom" dataDxfId="114" totalsRowDxfId="113" dataCellStyle="Percent">
      <calculatedColumnFormula>IF(Table3[[#This Row],[Energy Saving for Installing VFD
'[MPKR/y']]]=0,"N/A", Table3[[#This Row],[Investment for VFD
'[MPKR']]]*12/Table3[[#This Row],[Energy Saving for Installing VFD
'[MPKR/y']]])</calculatedColumnFormula>
      <totalsRowFormula>IF(Table3[[#Totals],[Energy Saving for Installing VFD
'[MPKR/y']]]=0,"N/A",Table3[[#Totals],[Investment for VFD
'[MPKR']]]*12/Table3[[#Totals],[Energy Saving for Installing VFD
'[MPKR/y']]])</totalsRowFormula>
    </tableColumn>
    <tableColumn id="25" name="Column5" dataDxfId="112" totalsRowDxfId="111"/>
    <tableColumn id="28" name="R" dataDxfId="110" totalsRowDxfId="109"/>
    <tableColumn id="27" name="Y" dataDxfId="108" totalsRowDxfId="107"/>
    <tableColumn id="26" name="B" dataDxfId="106" totalsRowDxfId="105"/>
    <tableColumn id="34" name="Average Voltage " dataDxfId="104" totalsRowDxfId="103">
      <calculatedColumnFormula>IF(Table3[[#This Row],[R]]*Table3[[#This Row],[Y]]*Table3[[#This Row],[B]]&gt;0,AVERAGE(Table3[[#This Row],[R]:[B]]),0)</calculatedColumnFormula>
    </tableColumn>
    <tableColumn id="30" name="ΔV1" dataDxfId="102" totalsRowDxfId="101">
      <calculatedColumnFormula>SQRT((Table3[[#This Row],[Average Voltage ]]-Table3[[#This Row],[R]])^2)</calculatedColumnFormula>
    </tableColumn>
    <tableColumn id="33" name="ΔV2" dataDxfId="100" totalsRowDxfId="99">
      <calculatedColumnFormula>SQRT((Table3[[#This Row],[Average Voltage ]]-Table3[[#This Row],[Y]])^2)</calculatedColumnFormula>
    </tableColumn>
    <tableColumn id="31" name="ΔV3" dataDxfId="98" totalsRowDxfId="97">
      <calculatedColumnFormula>SQRT((Table3[[#This Row],[Average Voltage ]]-Table3[[#This Row],[B]])^2)</calculatedColumnFormula>
    </tableColumn>
    <tableColumn id="29" name="Voltage Imbalance_x000a_[%]" dataDxfId="96" totalsRowDxfId="95" dataCellStyle="Percent">
      <calculatedColumnFormula>IF(Table3[[#This Row],[Average Voltage ]]&gt;0,MAX(Table3[[#This Row],[ΔV1]:[ΔV3]])/Table3[[#This Row],[Average Voltage ]],0)</calculatedColumnFormula>
    </tableColumn>
    <tableColumn id="37" name="Column9" dataDxfId="94" totalsRowDxfId="93" dataCellStyle="Percent"/>
    <tableColumn id="32" name="Motor Temperature_x000a_[⁰C]" dataDxfId="92" totalsRowDxfId="91"/>
    <tableColumn id="8" name="Motor Insulation Class" dataDxfId="90" totalsRowDxfId="89"/>
    <tableColumn id="18" name="Suggested temperature (SF &lt;1)" dataDxfId="88" totalsRowDxfId="87">
      <calculatedColumnFormula>IF(Table3[[#This Row],[Motor Insulation Class]]=0,0,VLOOKUP(Table3[[#This Row],[Motor Insulation Class]],Table4[],2,FALSE))</calculatedColumnFormula>
    </tableColumn>
    <tableColumn id="17" name="Suggested temperature (SF &gt;1)" dataDxfId="86" totalsRowDxfId="85">
      <calculatedColumnFormula>IF(Table3[[#This Row],[Motor Insulation Class]]=0,0,VLOOKUP(Table3[[#This Row],[Motor Insulation Class]],Table4[],3,FALSE))</calculatedColumnFormula>
    </tableColumn>
    <tableColumn id="16" name="Recommended Motor Temperature_x000a_[⁰C]" dataDxfId="84" totalsRowDxfId="83">
      <calculatedColumnFormula>IF(Table3[[#This Row],[Average Load on motor
'[%']]]&lt;1,Table3[[#This Row],[Suggested temperature (SF &lt;1)]],Table3[[#This Row],[Suggested temperature (SF &gt;1)]])</calculatedColumnFormula>
    </tableColumn>
    <tableColumn id="14" name="Column6" dataDxfId="82" totalsRowDxfId="81"/>
    <tableColumn id="41" name="1" dataDxfId="80" totalsRowDxfId="79">
      <calculatedColumnFormula>IF(Table3[[#This Row],[Payback Period
'[months']]]&gt;24,"","Install VFD")</calculatedColumnFormula>
    </tableColumn>
    <tableColumn id="42" name="2" dataDxfId="78" totalsRowDxfId="77">
      <calculatedColumnFormula>IF(Table3[[#This Row],[Voltage Imbalance
'[%']]]&gt;0.05,"Check cable sizes, loose connections or load balance","")</calculatedColumnFormula>
    </tableColumn>
    <tableColumn id="13" name="3" dataDxfId="76" totalsRowDxfId="75">
      <calculatedColumnFormula>IF(Table3[[#This Row],[Motor Temperature
'[⁰C']]]&gt;Table3[[#This Row],[Recommended Motor Temperature
'[⁰C']]],"Check Cooling, Monitor Load and Temperature Regularly","")</calculatedColumnFormula>
    </tableColumn>
    <tableColumn id="9" name="Column1" dataDxfId="74" totalsRowDxfId="73"/>
  </tableColumns>
  <tableStyleInfo name="TableStyleLight10" showFirstColumn="0" showLastColumn="0" showRowStripes="1" showColumnStripes="0"/>
</table>
</file>

<file path=xl/tables/table2.xml><?xml version="1.0" encoding="utf-8"?>
<table xmlns="http://schemas.openxmlformats.org/spreadsheetml/2006/main" id="4" name="Table4" displayName="Table4" ref="C6:E11" totalsRowShown="0" headerRowDxfId="154" dataDxfId="153" tableBorderDxfId="152" dataCellStyle="Percent">
  <autoFilter ref="C6:E11"/>
  <sortState ref="C12:N15">
    <sortCondition ref="C11:C15"/>
  </sortState>
  <tableColumns count="3">
    <tableColumn id="1" name="Insulation Class" dataDxfId="151"/>
    <tableColumn id="2" name="1.00" dataDxfId="150" dataCellStyle="Percent"/>
    <tableColumn id="3" name="&gt;1" dataDxfId="149" dataCellStyle="Percent"/>
  </tableColumns>
  <tableStyleInfo name="TableStyleMedium16" showFirstColumn="0" showLastColumn="0" showRowStripes="1" showColumnStripes="0"/>
</table>
</file>

<file path=xl/tables/table3.xml><?xml version="1.0" encoding="utf-8"?>
<table xmlns="http://schemas.openxmlformats.org/spreadsheetml/2006/main" id="1" name="Table32" displayName="Table32" ref="B8:AJ10" totalsRowCount="1" headerRowDxfId="2" dataDxfId="0" totalsRowDxfId="1">
  <autoFilter ref="B8:AJ9"/>
  <tableColumns count="35">
    <tableColumn id="1" name="#" totalsRowFunction="countNums" dataDxfId="72" totalsRowDxfId="71">
      <calculatedColumnFormula>IF(Table32[[#This Row],[Rated Motor Power
'[kW']]]&gt;0,ROW(Table32[[#This Row],[Motor Code
'[Identity']]])-ROW(Table32[[#Headers],[Motor Code
'[Identity']]]),"")</calculatedColumnFormula>
    </tableColumn>
    <tableColumn id="2" name="Motor Code_x000a_[Identity]" dataDxfId="70" totalsRowDxfId="69"/>
    <tableColumn id="3" name="Rated Motor Power_x000a_[kW]" totalsRowFunction="sum" dataDxfId="68" totalsRowDxfId="67"/>
    <tableColumn id="5" name="Design Efficiency_x000a_[%]" dataDxfId="66" totalsRowDxfId="65" dataCellStyle="Percent"/>
    <tableColumn id="20" name="Measured Motor Power at Full Load_x000a_[kW]" totalsRowFunction="sum" dataDxfId="64" totalsRowDxfId="63" dataCellStyle="Percent"/>
    <tableColumn id="23" name="Motor Shaft Power_x000a_[kw]" totalsRowFunction="sum" dataDxfId="62" totalsRowDxfId="61">
      <calculatedColumnFormula>IF(Table32[[#This Row],[Measured Motor Power at Full Load
'[kW']]]=0,Table32[[#This Row],[Rated Motor Power
'[kW']]]*Table32[[#This Row],[Design Efficiency
'[%']]],Table32[[#This Row],[Measured Motor Power at Full Load
'[kW']]])</calculatedColumnFormula>
    </tableColumn>
    <tableColumn id="7" name="Annual Operation_x000a_[hrs/y]" totalsRowFunction="average" dataDxfId="60" totalsRowDxfId="59"/>
    <tableColumn id="36" name="Column8" dataDxfId="58" totalsRowDxfId="57"/>
    <tableColumn id="35" name="VFD Installed or Not!" dataDxfId="56" totalsRowDxfId="55"/>
    <tableColumn id="4" name="Motor Load Type_x000a_[Variable or Constant]" dataDxfId="54" totalsRowDxfId="53"/>
    <tableColumn id="22" name="Average Load on motor_x000a_[%]" totalsRowFunction="average" dataDxfId="52" totalsRowDxfId="51" dataCellStyle="Percent"/>
    <tableColumn id="21" name="Energy Saving for Installing VFD_x000a_[kWh/y]" totalsRowFunction="sum" dataDxfId="50" totalsRowDxfId="49" dataCellStyle="Percent">
      <calculatedColumnFormula>IF(Table32[[#This Row],[VFD Installed or Not!]]="No", IF(Table32[[#This Row],[Motor Load Type
'[Variable or Constant']]]="Variable",(Table32[[#This Row],[Rated Motor Power
'[kW']]]/Table32[[#This Row],[Design Efficiency
'[%']]]*0.7*0.96*(1-Table32[[#This Row],[Average Load on motor
'[%']]])*Table32[[#This Row],[Annual Operation
'[hrs/y']]]),"N/A"),"N/A")</calculatedColumnFormula>
    </tableColumn>
    <tableColumn id="19" name="Energy Saving for Installing VFD_x000a_[MPKR/y]" totalsRowFunction="sum" dataDxfId="48" totalsRowDxfId="47" dataCellStyle="Percent">
      <calculatedColumnFormula>IF(Table32[[#This Row],[Energy Saving for Installing VFD
'[kWh/y']]]="N/A",0,Table32[[#This Row],[Energy Saving for Installing VFD
'[kWh/y']]]*$F$5)/1000000</calculatedColumnFormula>
    </tableColumn>
    <tableColumn id="24" name="Investment for VFD_x000a_[MPKR]" totalsRowFunction="sum" dataDxfId="46" totalsRowDxfId="45"/>
    <tableColumn id="15" name="Payback Period_x000a_[months]" totalsRowFunction="custom" dataDxfId="44" totalsRowDxfId="43" dataCellStyle="Percent">
      <calculatedColumnFormula>IF(Table32[[#This Row],[Energy Saving for Installing VFD
'[MPKR/y']]]=0,"N/A", Table32[[#This Row],[Investment for VFD
'[MPKR']]]*12/Table32[[#This Row],[Energy Saving for Installing VFD
'[MPKR/y']]])</calculatedColumnFormula>
      <totalsRowFormula>IF(Table32[[#Totals],[Energy Saving for Installing VFD
'[MPKR/y']]]=0,"N/A",Table32[[#Totals],[Investment for VFD
'[MPKR']]]*12/Table32[[#Totals],[Energy Saving for Installing VFD
'[MPKR/y']]])</totalsRowFormula>
    </tableColumn>
    <tableColumn id="25" name="Column5" dataDxfId="42" totalsRowDxfId="41"/>
    <tableColumn id="28" name="R" dataDxfId="40" totalsRowDxfId="39"/>
    <tableColumn id="27" name="Y" dataDxfId="38" totalsRowDxfId="37"/>
    <tableColumn id="26" name="B" dataDxfId="36" totalsRowDxfId="35"/>
    <tableColumn id="34" name="Average Voltage " dataDxfId="34" totalsRowDxfId="33">
      <calculatedColumnFormula>IF(Table32[[#This Row],[R]]*Table32[[#This Row],[Y]]*Table32[[#This Row],[B]]&gt;0,AVERAGE(Table32[[#This Row],[R]:[B]]),0)</calculatedColumnFormula>
    </tableColumn>
    <tableColumn id="30" name="ΔV1" dataDxfId="32" totalsRowDxfId="31">
      <calculatedColumnFormula>SQRT((Table32[[#This Row],[Average Voltage ]]-Table32[[#This Row],[R]])^2)</calculatedColumnFormula>
    </tableColumn>
    <tableColumn id="33" name="ΔV2" dataDxfId="30" totalsRowDxfId="29">
      <calculatedColumnFormula>SQRT((Table32[[#This Row],[Average Voltage ]]-Table32[[#This Row],[Y]])^2)</calculatedColumnFormula>
    </tableColumn>
    <tableColumn id="31" name="ΔV3" dataDxfId="28" totalsRowDxfId="27">
      <calculatedColumnFormula>SQRT((Table32[[#This Row],[Average Voltage ]]-Table32[[#This Row],[B]])^2)</calculatedColumnFormula>
    </tableColumn>
    <tableColumn id="29" name="Voltage Imbalance_x000a_[%]" dataDxfId="26" totalsRowDxfId="25" dataCellStyle="Percent">
      <calculatedColumnFormula>IF(Table32[[#This Row],[Average Voltage ]]&gt;0,MAX(Table32[[#This Row],[ΔV1]:[ΔV3]])/Table32[[#This Row],[Average Voltage ]],0)</calculatedColumnFormula>
    </tableColumn>
    <tableColumn id="37" name="Column9" dataDxfId="24" totalsRowDxfId="23" dataCellStyle="Percent"/>
    <tableColumn id="32" name="Motor Temperature_x000a_[⁰C]" dataDxfId="22" totalsRowDxfId="21"/>
    <tableColumn id="8" name="Motor Insulation Class" dataDxfId="20" totalsRowDxfId="19"/>
    <tableColumn id="18" name="Suggested temperature (SF &lt;1)" dataDxfId="18" totalsRowDxfId="17">
      <calculatedColumnFormula>IF(Table32[[#This Row],[Motor Insulation Class]]=0,0,VLOOKUP(Table32[[#This Row],[Motor Insulation Class]],Table4[],2,FALSE))</calculatedColumnFormula>
    </tableColumn>
    <tableColumn id="17" name="Suggested temperature (SF &gt;1)" dataDxfId="16" totalsRowDxfId="15">
      <calculatedColumnFormula>IF(Table32[[#This Row],[Motor Insulation Class]]=0,0,VLOOKUP(Table32[[#This Row],[Motor Insulation Class]],Table4[],3,FALSE))</calculatedColumnFormula>
    </tableColumn>
    <tableColumn id="16" name="Recommended Motor Temperature_x000a_[⁰C]" dataDxfId="14" totalsRowDxfId="13">
      <calculatedColumnFormula>IF(Table32[[#This Row],[Average Load on motor
'[%']]]&lt;1,Table32[[#This Row],[Suggested temperature (SF &lt;1)]],Table32[[#This Row],[Suggested temperature (SF &gt;1)]])</calculatedColumnFormula>
    </tableColumn>
    <tableColumn id="14" name="Column6" dataDxfId="12" totalsRowDxfId="11"/>
    <tableColumn id="41" name="1" dataDxfId="10" totalsRowDxfId="9">
      <calculatedColumnFormula>IF(Table32[[#This Row],[Payback Period
'[months']]]&gt;24,"","Install VFD")</calculatedColumnFormula>
    </tableColumn>
    <tableColumn id="42" name="2" dataDxfId="8" totalsRowDxfId="7">
      <calculatedColumnFormula>IF(Table32[[#This Row],[Voltage Imbalance
'[%']]]&gt;0.05,"Check cable sizes, loose connections or load balance","")</calculatedColumnFormula>
    </tableColumn>
    <tableColumn id="13" name="3" dataDxfId="6" totalsRowDxfId="5">
      <calculatedColumnFormula>IF(Table32[[#This Row],[Motor Temperature
'[⁰C']]]&gt;Table32[[#This Row],[Recommended Motor Temperature
'[⁰C']]],"Check Cooling, Monitor Load and Temperature Regularly","")</calculatedColumnFormula>
    </tableColumn>
    <tableColumn id="9" name="Column1" dataDxfId="4" totalsRowDxfId="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workbookViewId="0">
      <selection activeCell="B3" sqref="B3:H3"/>
    </sheetView>
  </sheetViews>
  <sheetFormatPr defaultColWidth="0" defaultRowHeight="15" zeroHeight="1"/>
  <cols>
    <col min="1" max="1" width="3.85546875" style="6" customWidth="1"/>
    <col min="2" max="14" width="9.140625" style="6" customWidth="1"/>
    <col min="15" max="15" width="3.140625" style="6" customWidth="1"/>
    <col min="16" max="16384" width="9.140625" style="6" hidden="1"/>
  </cols>
  <sheetData>
    <row r="1" spans="2:14"/>
    <row r="2" spans="2:14"/>
    <row r="3" spans="2:14" ht="21">
      <c r="B3" s="57" t="s">
        <v>15</v>
      </c>
      <c r="C3" s="57"/>
      <c r="D3" s="57"/>
      <c r="E3" s="57"/>
      <c r="F3" s="57"/>
      <c r="G3" s="57"/>
      <c r="H3" s="57"/>
      <c r="I3" s="10"/>
      <c r="J3" s="10"/>
    </row>
    <row r="4" spans="2:14"/>
    <row r="5" spans="2:14"/>
    <row r="6" spans="2:14">
      <c r="B6" s="68" t="s">
        <v>9</v>
      </c>
      <c r="C6" s="68"/>
      <c r="D6" s="68"/>
      <c r="E6" s="68"/>
      <c r="F6" s="68"/>
      <c r="G6" s="68"/>
      <c r="H6" s="68"/>
      <c r="I6" s="68"/>
      <c r="J6" s="68"/>
      <c r="K6" s="68"/>
      <c r="L6" s="68"/>
      <c r="M6" s="68"/>
      <c r="N6" s="68"/>
    </row>
    <row r="7" spans="2:14">
      <c r="B7" s="68"/>
      <c r="C7" s="68"/>
      <c r="D7" s="68"/>
      <c r="E7" s="68"/>
      <c r="F7" s="68"/>
      <c r="G7" s="68"/>
      <c r="H7" s="68"/>
      <c r="I7" s="68"/>
      <c r="J7" s="68"/>
      <c r="K7" s="68"/>
      <c r="L7" s="68"/>
      <c r="M7" s="68"/>
      <c r="N7" s="68"/>
    </row>
    <row r="8" spans="2:14">
      <c r="B8" s="68"/>
      <c r="C8" s="68"/>
      <c r="D8" s="68"/>
      <c r="E8" s="68"/>
      <c r="F8" s="68"/>
      <c r="G8" s="68"/>
      <c r="H8" s="68"/>
      <c r="I8" s="68"/>
      <c r="J8" s="68"/>
      <c r="K8" s="68"/>
      <c r="L8" s="68"/>
      <c r="M8" s="68"/>
      <c r="N8" s="68"/>
    </row>
    <row r="9" spans="2:14">
      <c r="B9" s="68"/>
      <c r="C9" s="68"/>
      <c r="D9" s="68"/>
      <c r="E9" s="68"/>
      <c r="F9" s="68"/>
      <c r="G9" s="68"/>
      <c r="H9" s="68"/>
      <c r="I9" s="68"/>
      <c r="J9" s="68"/>
      <c r="K9" s="68"/>
      <c r="L9" s="68"/>
      <c r="M9" s="68"/>
      <c r="N9" s="68"/>
    </row>
    <row r="10" spans="2:14">
      <c r="B10" s="68"/>
      <c r="C10" s="68"/>
      <c r="D10" s="68"/>
      <c r="E10" s="68"/>
      <c r="F10" s="68"/>
      <c r="G10" s="68"/>
      <c r="H10" s="68"/>
      <c r="I10" s="68"/>
      <c r="J10" s="68"/>
      <c r="K10" s="68"/>
      <c r="L10" s="68"/>
      <c r="M10" s="68"/>
      <c r="N10" s="68"/>
    </row>
    <row r="11" spans="2:14">
      <c r="B11" s="68"/>
      <c r="C11" s="68"/>
      <c r="D11" s="68"/>
      <c r="E11" s="68"/>
      <c r="F11" s="68"/>
      <c r="G11" s="68"/>
      <c r="H11" s="68"/>
      <c r="I11" s="68"/>
      <c r="J11" s="68"/>
      <c r="K11" s="68"/>
      <c r="L11" s="68"/>
      <c r="M11" s="68"/>
      <c r="N11" s="68"/>
    </row>
    <row r="12" spans="2:14">
      <c r="B12" s="68" t="s">
        <v>67</v>
      </c>
      <c r="C12" s="69"/>
      <c r="D12" s="69"/>
      <c r="E12" s="69"/>
      <c r="F12" s="69"/>
      <c r="G12" s="69"/>
      <c r="H12" s="69"/>
      <c r="I12" s="69"/>
      <c r="J12" s="69"/>
      <c r="K12" s="69"/>
      <c r="L12" s="69"/>
      <c r="M12" s="69"/>
      <c r="N12" s="69"/>
    </row>
    <row r="13" spans="2:14">
      <c r="B13" s="69"/>
      <c r="C13" s="69"/>
      <c r="D13" s="69"/>
      <c r="E13" s="69"/>
      <c r="F13" s="69"/>
      <c r="G13" s="69"/>
      <c r="H13" s="69"/>
      <c r="I13" s="69"/>
      <c r="J13" s="69"/>
      <c r="K13" s="69"/>
      <c r="L13" s="69"/>
      <c r="M13" s="69"/>
      <c r="N13" s="69"/>
    </row>
    <row r="14" spans="2:14">
      <c r="B14" s="69"/>
      <c r="C14" s="69"/>
      <c r="D14" s="69"/>
      <c r="E14" s="69"/>
      <c r="F14" s="69"/>
      <c r="G14" s="69"/>
      <c r="H14" s="69"/>
      <c r="I14" s="69"/>
      <c r="J14" s="69"/>
      <c r="K14" s="69"/>
      <c r="L14" s="69"/>
      <c r="M14" s="69"/>
      <c r="N14" s="69"/>
    </row>
    <row r="15" spans="2:14">
      <c r="B15" s="69"/>
      <c r="C15" s="69"/>
      <c r="D15" s="69"/>
      <c r="E15" s="69"/>
      <c r="F15" s="69"/>
      <c r="G15" s="69"/>
      <c r="H15" s="69"/>
      <c r="I15" s="69"/>
      <c r="J15" s="69"/>
      <c r="K15" s="69"/>
      <c r="L15" s="69"/>
      <c r="M15" s="69"/>
      <c r="N15" s="69"/>
    </row>
    <row r="16" spans="2:14">
      <c r="B16" s="68" t="s">
        <v>90</v>
      </c>
      <c r="C16" s="68"/>
      <c r="D16" s="68"/>
      <c r="E16" s="68"/>
      <c r="F16" s="68"/>
      <c r="G16" s="68"/>
      <c r="H16" s="68"/>
      <c r="I16" s="68"/>
      <c r="J16" s="68"/>
      <c r="K16" s="68"/>
      <c r="L16" s="68"/>
      <c r="M16" s="68"/>
      <c r="N16" s="68"/>
    </row>
    <row r="17" spans="2:14">
      <c r="B17" s="68"/>
      <c r="C17" s="68"/>
      <c r="D17" s="68"/>
      <c r="E17" s="68"/>
      <c r="F17" s="68"/>
      <c r="G17" s="68"/>
      <c r="H17" s="68"/>
      <c r="I17" s="68"/>
      <c r="J17" s="68"/>
      <c r="K17" s="68"/>
      <c r="L17" s="68"/>
      <c r="M17" s="68"/>
      <c r="N17" s="68"/>
    </row>
    <row r="18" spans="2:14">
      <c r="B18" s="68"/>
      <c r="C18" s="68"/>
      <c r="D18" s="68"/>
      <c r="E18" s="68"/>
      <c r="F18" s="68"/>
      <c r="G18" s="68"/>
      <c r="H18" s="68"/>
      <c r="I18" s="68"/>
      <c r="J18" s="68"/>
      <c r="K18" s="68"/>
      <c r="L18" s="68"/>
      <c r="M18" s="68"/>
      <c r="N18" s="68"/>
    </row>
    <row r="19" spans="2:14">
      <c r="B19" s="68"/>
      <c r="C19" s="68"/>
      <c r="D19" s="68"/>
      <c r="E19" s="68"/>
      <c r="F19" s="68"/>
      <c r="G19" s="68"/>
      <c r="H19" s="68"/>
      <c r="I19" s="68"/>
      <c r="J19" s="68"/>
      <c r="K19" s="68"/>
      <c r="L19" s="68"/>
      <c r="M19" s="68"/>
      <c r="N19" s="68"/>
    </row>
    <row r="20" spans="2:14" ht="15" customHeight="1">
      <c r="B20" s="68" t="s">
        <v>91</v>
      </c>
      <c r="C20" s="68"/>
      <c r="D20" s="68"/>
      <c r="E20" s="68"/>
      <c r="F20" s="68"/>
      <c r="G20" s="68"/>
      <c r="H20" s="68"/>
      <c r="I20" s="68"/>
      <c r="J20" s="68"/>
      <c r="K20" s="68"/>
      <c r="L20" s="68"/>
      <c r="M20" s="68"/>
      <c r="N20" s="68"/>
    </row>
    <row r="21" spans="2:14">
      <c r="B21" s="68"/>
      <c r="C21" s="68"/>
      <c r="D21" s="68"/>
      <c r="E21" s="68"/>
      <c r="F21" s="68"/>
      <c r="G21" s="68"/>
      <c r="H21" s="68"/>
      <c r="I21" s="68"/>
      <c r="J21" s="68"/>
      <c r="K21" s="68"/>
      <c r="L21" s="68"/>
      <c r="M21" s="68"/>
      <c r="N21" s="68"/>
    </row>
    <row r="22" spans="2:14">
      <c r="B22" s="68"/>
      <c r="C22" s="68"/>
      <c r="D22" s="68"/>
      <c r="E22" s="68"/>
      <c r="F22" s="68"/>
      <c r="G22" s="68"/>
      <c r="H22" s="68"/>
      <c r="I22" s="68"/>
      <c r="J22" s="68"/>
      <c r="K22" s="68"/>
      <c r="L22" s="68"/>
      <c r="M22" s="68"/>
      <c r="N22" s="68"/>
    </row>
    <row r="23" spans="2:14">
      <c r="B23" s="68"/>
      <c r="C23" s="68"/>
      <c r="D23" s="68"/>
      <c r="E23" s="68"/>
      <c r="F23" s="68"/>
      <c r="G23" s="68"/>
      <c r="H23" s="68"/>
      <c r="I23" s="68"/>
      <c r="J23" s="68"/>
      <c r="K23" s="68"/>
      <c r="L23" s="68"/>
      <c r="M23" s="68"/>
      <c r="N23" s="68"/>
    </row>
    <row r="24" spans="2:14">
      <c r="B24" s="68"/>
      <c r="C24" s="68"/>
      <c r="D24" s="68"/>
      <c r="E24" s="68"/>
      <c r="F24" s="68"/>
      <c r="G24" s="68"/>
      <c r="H24" s="68"/>
      <c r="I24" s="68"/>
      <c r="J24" s="68"/>
      <c r="K24" s="68"/>
      <c r="L24" s="68"/>
      <c r="M24" s="68"/>
      <c r="N24" s="68"/>
    </row>
    <row r="25" spans="2:14">
      <c r="B25" s="68"/>
      <c r="C25" s="68"/>
      <c r="D25" s="68"/>
      <c r="E25" s="68"/>
      <c r="F25" s="68"/>
      <c r="G25" s="68"/>
      <c r="H25" s="68"/>
      <c r="I25" s="68"/>
      <c r="J25" s="68"/>
      <c r="K25" s="68"/>
      <c r="L25" s="68"/>
      <c r="M25" s="68"/>
      <c r="N25" s="68"/>
    </row>
    <row r="26" spans="2:14">
      <c r="B26" s="68"/>
      <c r="C26" s="68"/>
      <c r="D26" s="68"/>
      <c r="E26" s="68"/>
      <c r="F26" s="68"/>
      <c r="G26" s="68"/>
      <c r="H26" s="68"/>
      <c r="I26" s="68"/>
      <c r="J26" s="68"/>
      <c r="K26" s="68"/>
      <c r="L26" s="68"/>
      <c r="M26" s="68"/>
      <c r="N26" s="68"/>
    </row>
    <row r="27" spans="2:14">
      <c r="B27" s="68"/>
      <c r="C27" s="68"/>
      <c r="D27" s="68"/>
      <c r="E27" s="68"/>
      <c r="F27" s="68"/>
      <c r="G27" s="68"/>
      <c r="H27" s="68"/>
      <c r="I27" s="68"/>
      <c r="J27" s="68"/>
      <c r="K27" s="68"/>
      <c r="L27" s="68"/>
      <c r="M27" s="68"/>
      <c r="N27" s="68"/>
    </row>
    <row r="28" spans="2:14">
      <c r="B28" s="68"/>
      <c r="C28" s="68"/>
      <c r="D28" s="68"/>
      <c r="E28" s="68"/>
      <c r="F28" s="68"/>
      <c r="G28" s="68"/>
      <c r="H28" s="68"/>
      <c r="I28" s="68"/>
      <c r="J28" s="68"/>
      <c r="K28" s="68"/>
      <c r="L28" s="68"/>
      <c r="M28" s="68"/>
      <c r="N28" s="68"/>
    </row>
    <row r="29" spans="2:14">
      <c r="B29" s="68"/>
      <c r="C29" s="68"/>
      <c r="D29" s="68"/>
      <c r="E29" s="68"/>
      <c r="F29" s="68"/>
      <c r="G29" s="68"/>
      <c r="H29" s="68"/>
      <c r="I29" s="68"/>
      <c r="J29" s="68"/>
      <c r="K29" s="68"/>
      <c r="L29" s="68"/>
      <c r="M29" s="68"/>
      <c r="N29" s="68"/>
    </row>
    <row r="30" spans="2:14" ht="15" customHeight="1">
      <c r="B30" s="68" t="s">
        <v>19</v>
      </c>
      <c r="C30" s="68"/>
      <c r="D30" s="68"/>
      <c r="E30" s="68"/>
      <c r="F30" s="68"/>
      <c r="G30" s="68"/>
      <c r="H30" s="68"/>
      <c r="I30" s="68"/>
      <c r="J30" s="68"/>
      <c r="K30" s="68"/>
      <c r="L30" s="68"/>
      <c r="M30" s="68"/>
      <c r="N30" s="68"/>
    </row>
    <row r="31" spans="2:14">
      <c r="B31" s="68"/>
      <c r="C31" s="68"/>
      <c r="D31" s="68"/>
      <c r="E31" s="68"/>
      <c r="F31" s="68"/>
      <c r="G31" s="68"/>
      <c r="H31" s="68"/>
      <c r="I31" s="68"/>
      <c r="J31" s="68"/>
      <c r="K31" s="68"/>
      <c r="L31" s="68"/>
      <c r="M31" s="68"/>
      <c r="N31" s="68"/>
    </row>
    <row r="32" spans="2:14">
      <c r="B32" s="68"/>
      <c r="C32" s="68"/>
      <c r="D32" s="68"/>
      <c r="E32" s="68"/>
      <c r="F32" s="68"/>
      <c r="G32" s="68"/>
      <c r="H32" s="68"/>
      <c r="I32" s="68"/>
      <c r="J32" s="68"/>
      <c r="K32" s="68"/>
      <c r="L32" s="68"/>
      <c r="M32" s="68"/>
      <c r="N32" s="68"/>
    </row>
    <row r="33" spans="2:14">
      <c r="B33" s="68"/>
      <c r="C33" s="68"/>
      <c r="D33" s="68"/>
      <c r="E33" s="68"/>
      <c r="F33" s="68"/>
      <c r="G33" s="68"/>
      <c r="H33" s="68"/>
      <c r="I33" s="68"/>
      <c r="J33" s="68"/>
      <c r="K33" s="68"/>
      <c r="L33" s="68"/>
      <c r="M33" s="68"/>
      <c r="N33" s="68"/>
    </row>
    <row r="34" spans="2:14">
      <c r="B34" s="68"/>
      <c r="C34" s="68"/>
      <c r="D34" s="68"/>
      <c r="E34" s="68"/>
      <c r="F34" s="68"/>
      <c r="G34" s="68"/>
      <c r="H34" s="68"/>
      <c r="I34" s="68"/>
      <c r="J34" s="68"/>
      <c r="K34" s="68"/>
      <c r="L34" s="68"/>
      <c r="M34" s="68"/>
      <c r="N34" s="68"/>
    </row>
    <row r="35" spans="2:14">
      <c r="B35" s="68"/>
      <c r="C35" s="68"/>
      <c r="D35" s="68"/>
      <c r="E35" s="68"/>
      <c r="F35" s="68"/>
      <c r="G35" s="68"/>
      <c r="H35" s="68"/>
      <c r="I35" s="68"/>
      <c r="J35" s="68"/>
      <c r="K35" s="68"/>
      <c r="L35" s="68"/>
      <c r="M35" s="68"/>
      <c r="N35" s="68"/>
    </row>
    <row r="36" spans="2:14">
      <c r="B36" s="68"/>
      <c r="C36" s="68"/>
      <c r="D36" s="68"/>
      <c r="E36" s="68"/>
      <c r="F36" s="68"/>
      <c r="G36" s="68"/>
      <c r="H36" s="68"/>
      <c r="I36" s="68"/>
      <c r="J36" s="68"/>
      <c r="K36" s="68"/>
      <c r="L36" s="68"/>
      <c r="M36" s="68"/>
      <c r="N36" s="68"/>
    </row>
    <row r="37" spans="2:14">
      <c r="B37" s="68"/>
      <c r="C37" s="68"/>
      <c r="D37" s="68"/>
      <c r="E37" s="68"/>
      <c r="F37" s="68"/>
      <c r="G37" s="68"/>
      <c r="H37" s="68"/>
      <c r="I37" s="68"/>
      <c r="J37" s="68"/>
      <c r="K37" s="68"/>
      <c r="L37" s="68"/>
      <c r="M37" s="68"/>
      <c r="N37" s="68"/>
    </row>
    <row r="38" spans="2:14">
      <c r="B38" s="68"/>
      <c r="C38" s="68"/>
      <c r="D38" s="68"/>
      <c r="E38" s="68"/>
      <c r="F38" s="68"/>
      <c r="G38" s="68"/>
      <c r="H38" s="68"/>
      <c r="I38" s="68"/>
      <c r="J38" s="68"/>
      <c r="K38" s="68"/>
      <c r="L38" s="68"/>
      <c r="M38" s="68"/>
      <c r="N38" s="68"/>
    </row>
    <row r="39" spans="2:14">
      <c r="B39" s="68"/>
      <c r="C39" s="68"/>
      <c r="D39" s="68"/>
      <c r="E39" s="68"/>
      <c r="F39" s="68"/>
      <c r="G39" s="68"/>
      <c r="H39" s="68"/>
      <c r="I39" s="68"/>
      <c r="J39" s="68"/>
      <c r="K39" s="68"/>
      <c r="L39" s="68"/>
      <c r="M39" s="68"/>
      <c r="N39" s="68"/>
    </row>
    <row r="40" spans="2:14">
      <c r="B40" s="68"/>
      <c r="C40" s="68"/>
      <c r="D40" s="68"/>
      <c r="E40" s="68"/>
      <c r="F40" s="68"/>
      <c r="G40" s="68"/>
      <c r="H40" s="68"/>
      <c r="I40" s="68"/>
      <c r="J40" s="68"/>
      <c r="K40" s="68"/>
      <c r="L40" s="68"/>
      <c r="M40" s="68"/>
      <c r="N40" s="68"/>
    </row>
    <row r="41" spans="2:14">
      <c r="B41" s="68"/>
      <c r="C41" s="68"/>
      <c r="D41" s="68"/>
      <c r="E41" s="68"/>
      <c r="F41" s="68"/>
      <c r="G41" s="68"/>
      <c r="H41" s="68"/>
      <c r="I41" s="68"/>
      <c r="J41" s="68"/>
      <c r="K41" s="68"/>
      <c r="L41" s="68"/>
      <c r="M41" s="68"/>
      <c r="N41" s="68"/>
    </row>
    <row r="42" spans="2:14">
      <c r="B42" s="68"/>
      <c r="C42" s="68"/>
      <c r="D42" s="68"/>
      <c r="E42" s="68"/>
      <c r="F42" s="68"/>
      <c r="G42" s="68"/>
      <c r="H42" s="68"/>
      <c r="I42" s="68"/>
      <c r="J42" s="68"/>
      <c r="K42" s="68"/>
      <c r="L42" s="68"/>
      <c r="M42" s="68"/>
      <c r="N42" s="68"/>
    </row>
    <row r="43" spans="2:14">
      <c r="B43" s="68"/>
      <c r="C43" s="68"/>
      <c r="D43" s="68"/>
      <c r="E43" s="68"/>
      <c r="F43" s="68"/>
      <c r="G43" s="68"/>
      <c r="H43" s="68"/>
      <c r="I43" s="68"/>
      <c r="J43" s="68"/>
      <c r="K43" s="68"/>
      <c r="L43" s="68"/>
      <c r="M43" s="68"/>
      <c r="N43" s="68"/>
    </row>
    <row r="44" spans="2:14">
      <c r="B44" s="68"/>
      <c r="C44" s="68"/>
      <c r="D44" s="68"/>
      <c r="E44" s="68"/>
      <c r="F44" s="68"/>
      <c r="G44" s="68"/>
      <c r="H44" s="68"/>
      <c r="I44" s="68"/>
      <c r="J44" s="68"/>
      <c r="K44" s="68"/>
      <c r="L44" s="68"/>
      <c r="M44" s="68"/>
      <c r="N44" s="68"/>
    </row>
    <row r="45" spans="2:14" ht="15" customHeight="1">
      <c r="B45" s="68" t="s">
        <v>92</v>
      </c>
      <c r="C45" s="68"/>
      <c r="D45" s="68"/>
      <c r="E45" s="68"/>
      <c r="F45" s="68"/>
      <c r="G45" s="68"/>
      <c r="H45" s="68"/>
      <c r="I45" s="68"/>
      <c r="J45" s="68"/>
      <c r="K45" s="68"/>
      <c r="L45" s="68"/>
      <c r="M45" s="68"/>
      <c r="N45" s="68"/>
    </row>
    <row r="46" spans="2:14">
      <c r="B46" s="68"/>
      <c r="C46" s="68"/>
      <c r="D46" s="68"/>
      <c r="E46" s="68"/>
      <c r="F46" s="68"/>
      <c r="G46" s="68"/>
      <c r="H46" s="68"/>
      <c r="I46" s="68"/>
      <c r="J46" s="68"/>
      <c r="K46" s="68"/>
      <c r="L46" s="68"/>
      <c r="M46" s="68"/>
      <c r="N46" s="68"/>
    </row>
    <row r="47" spans="2:14">
      <c r="B47" s="68"/>
      <c r="C47" s="68"/>
      <c r="D47" s="68"/>
      <c r="E47" s="68"/>
      <c r="F47" s="68"/>
      <c r="G47" s="68"/>
      <c r="H47" s="68"/>
      <c r="I47" s="68"/>
      <c r="J47" s="68"/>
      <c r="K47" s="68"/>
      <c r="L47" s="68"/>
      <c r="M47" s="68"/>
      <c r="N47" s="68"/>
    </row>
    <row r="48" spans="2:14">
      <c r="B48" s="68"/>
      <c r="C48" s="68"/>
      <c r="D48" s="68"/>
      <c r="E48" s="68"/>
      <c r="F48" s="68"/>
      <c r="G48" s="68"/>
      <c r="H48" s="68"/>
      <c r="I48" s="68"/>
      <c r="J48" s="68"/>
      <c r="K48" s="68"/>
      <c r="L48" s="68"/>
      <c r="M48" s="68"/>
      <c r="N48" s="68"/>
    </row>
    <row r="49" spans="2:14">
      <c r="B49" s="68"/>
      <c r="C49" s="68"/>
      <c r="D49" s="68"/>
      <c r="E49" s="68"/>
      <c r="F49" s="68"/>
      <c r="G49" s="68"/>
      <c r="H49" s="68"/>
      <c r="I49" s="68"/>
      <c r="J49" s="68"/>
      <c r="K49" s="68"/>
      <c r="L49" s="68"/>
      <c r="M49" s="68"/>
      <c r="N49" s="68"/>
    </row>
    <row r="50" spans="2:14">
      <c r="B50" s="68"/>
      <c r="C50" s="68"/>
      <c r="D50" s="68"/>
      <c r="E50" s="68"/>
      <c r="F50" s="68"/>
      <c r="G50" s="68"/>
      <c r="H50" s="68"/>
      <c r="I50" s="68"/>
      <c r="J50" s="68"/>
      <c r="K50" s="68"/>
      <c r="L50" s="68"/>
      <c r="M50" s="68"/>
      <c r="N50" s="68"/>
    </row>
    <row r="51" spans="2:14">
      <c r="B51" s="68"/>
      <c r="C51" s="68"/>
      <c r="D51" s="68"/>
      <c r="E51" s="68"/>
      <c r="F51" s="68"/>
      <c r="G51" s="68"/>
      <c r="H51" s="68"/>
      <c r="I51" s="68"/>
      <c r="J51" s="68"/>
      <c r="K51" s="68"/>
      <c r="L51" s="68"/>
      <c r="M51" s="68"/>
      <c r="N51" s="68"/>
    </row>
    <row r="52" spans="2:14">
      <c r="B52" s="68"/>
      <c r="C52" s="68"/>
      <c r="D52" s="68"/>
      <c r="E52" s="68"/>
      <c r="F52" s="68"/>
      <c r="G52" s="68"/>
      <c r="H52" s="68"/>
      <c r="I52" s="68"/>
      <c r="J52" s="68"/>
      <c r="K52" s="68"/>
      <c r="L52" s="68"/>
      <c r="M52" s="68"/>
      <c r="N52" s="68"/>
    </row>
    <row r="53" spans="2:14" ht="15" customHeight="1">
      <c r="B53" s="68" t="s">
        <v>13</v>
      </c>
      <c r="C53" s="68"/>
      <c r="D53" s="68"/>
      <c r="E53" s="68"/>
      <c r="F53" s="68"/>
      <c r="G53" s="68"/>
      <c r="H53" s="68"/>
      <c r="I53" s="68"/>
      <c r="J53" s="68"/>
      <c r="K53" s="68"/>
      <c r="L53" s="68"/>
      <c r="M53" s="68"/>
      <c r="N53" s="68"/>
    </row>
    <row r="54" spans="2:14" ht="15" customHeight="1">
      <c r="B54" s="68"/>
      <c r="C54" s="68"/>
      <c r="D54" s="68"/>
      <c r="E54" s="68"/>
      <c r="F54" s="68"/>
      <c r="G54" s="68"/>
      <c r="H54" s="68"/>
      <c r="I54" s="68"/>
      <c r="J54" s="68"/>
      <c r="K54" s="68"/>
      <c r="L54" s="68"/>
      <c r="M54" s="68"/>
      <c r="N54" s="68"/>
    </row>
    <row r="55" spans="2:14" ht="15" customHeight="1">
      <c r="B55" s="68"/>
      <c r="C55" s="68"/>
      <c r="D55" s="68"/>
      <c r="E55" s="68"/>
      <c r="F55" s="68"/>
      <c r="G55" s="68"/>
      <c r="H55" s="68"/>
      <c r="I55" s="68"/>
      <c r="J55" s="68"/>
      <c r="K55" s="68"/>
      <c r="L55" s="68"/>
      <c r="M55" s="68"/>
      <c r="N55" s="68"/>
    </row>
    <row r="56" spans="2:14" ht="15" customHeight="1">
      <c r="B56" s="68" t="s">
        <v>93</v>
      </c>
      <c r="C56" s="68"/>
      <c r="D56" s="68"/>
      <c r="E56" s="68"/>
      <c r="F56" s="68"/>
      <c r="G56" s="68"/>
      <c r="H56" s="70"/>
      <c r="I56" s="68" t="s">
        <v>14</v>
      </c>
      <c r="J56" s="68"/>
      <c r="K56" s="68"/>
      <c r="L56" s="68"/>
      <c r="M56" s="68"/>
      <c r="N56" s="68"/>
    </row>
    <row r="57" spans="2:14">
      <c r="B57" s="68"/>
      <c r="C57" s="68"/>
      <c r="D57" s="68"/>
      <c r="E57" s="68"/>
      <c r="F57" s="68"/>
      <c r="G57" s="68"/>
      <c r="H57" s="70"/>
      <c r="I57" s="68"/>
      <c r="J57" s="68"/>
      <c r="K57" s="68"/>
      <c r="L57" s="68"/>
      <c r="M57" s="68"/>
      <c r="N57" s="68"/>
    </row>
    <row r="58" spans="2:14">
      <c r="B58" s="68"/>
      <c r="C58" s="68"/>
      <c r="D58" s="68"/>
      <c r="E58" s="68"/>
      <c r="F58" s="68"/>
      <c r="G58" s="68"/>
      <c r="H58" s="70"/>
      <c r="I58" s="68"/>
      <c r="J58" s="68"/>
      <c r="K58" s="68"/>
      <c r="L58" s="68"/>
      <c r="M58" s="68"/>
      <c r="N58" s="68"/>
    </row>
    <row r="59" spans="2:14">
      <c r="B59" s="68"/>
      <c r="C59" s="68"/>
      <c r="D59" s="68"/>
      <c r="E59" s="68"/>
      <c r="F59" s="68"/>
      <c r="G59" s="68"/>
      <c r="H59" s="70"/>
      <c r="I59" s="68"/>
      <c r="J59" s="68"/>
      <c r="K59" s="68"/>
      <c r="L59" s="68"/>
      <c r="M59" s="68"/>
      <c r="N59" s="68"/>
    </row>
    <row r="60" spans="2:14">
      <c r="B60" s="68"/>
      <c r="C60" s="68"/>
      <c r="D60" s="68"/>
      <c r="E60" s="68"/>
      <c r="F60" s="68"/>
      <c r="G60" s="68"/>
      <c r="H60" s="70"/>
      <c r="I60" s="68"/>
      <c r="J60" s="68"/>
      <c r="K60" s="68"/>
      <c r="L60" s="68"/>
      <c r="M60" s="68"/>
      <c r="N60" s="68"/>
    </row>
    <row r="61" spans="2:14">
      <c r="B61" s="68"/>
      <c r="C61" s="68"/>
      <c r="D61" s="68"/>
      <c r="E61" s="68"/>
      <c r="F61" s="68"/>
      <c r="G61" s="68"/>
      <c r="H61" s="70"/>
      <c r="I61" s="68"/>
      <c r="J61" s="68"/>
      <c r="K61" s="68"/>
      <c r="L61" s="68"/>
      <c r="M61" s="68"/>
      <c r="N61" s="68"/>
    </row>
    <row r="62" spans="2:14">
      <c r="B62" s="68"/>
      <c r="C62" s="68"/>
      <c r="D62" s="68"/>
      <c r="E62" s="68"/>
      <c r="F62" s="68"/>
      <c r="G62" s="68"/>
      <c r="H62" s="70"/>
      <c r="I62" s="68"/>
      <c r="J62" s="68"/>
      <c r="K62" s="68"/>
      <c r="L62" s="68"/>
      <c r="M62" s="68"/>
      <c r="N62" s="68"/>
    </row>
    <row r="63" spans="2:14"/>
    <row r="64" spans="2:14"/>
  </sheetData>
  <sheetProtection password="C5AA" sheet="1" objects="1" scenarios="1"/>
  <mergeCells count="10">
    <mergeCell ref="B3:H3"/>
    <mergeCell ref="B30:N44"/>
    <mergeCell ref="B45:N52"/>
    <mergeCell ref="B53:N55"/>
    <mergeCell ref="B56:G62"/>
    <mergeCell ref="I56:N62"/>
    <mergeCell ref="B6:N11"/>
    <mergeCell ref="B12:N15"/>
    <mergeCell ref="B20:N29"/>
    <mergeCell ref="B16:N19"/>
  </mergeCells>
  <pageMargins left="0.25" right="0.25"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I46"/>
  <sheetViews>
    <sheetView workbookViewId="0">
      <pane xSplit="3" ySplit="8" topLeftCell="D9" activePane="bottomRight" state="frozen"/>
      <selection pane="topRight" activeCell="D1" sqref="D1"/>
      <selection pane="bottomLeft" activeCell="A9" sqref="A9"/>
      <selection pane="bottomRight" activeCell="B9" sqref="B9"/>
    </sheetView>
  </sheetViews>
  <sheetFormatPr defaultColWidth="0" defaultRowHeight="15" zeroHeight="1"/>
  <cols>
    <col min="1" max="1" width="2.28515625" customWidth="1"/>
    <col min="2" max="2" width="6.28515625" customWidth="1"/>
    <col min="3" max="3" width="21.7109375" customWidth="1"/>
    <col min="4" max="4" width="11.85546875" customWidth="1"/>
    <col min="5" max="5" width="11.85546875" style="1" customWidth="1"/>
    <col min="6" max="6" width="11.85546875" customWidth="1"/>
    <col min="7" max="7" width="8.42578125" style="1" hidden="1" customWidth="1"/>
    <col min="8" max="8" width="11.85546875" customWidth="1"/>
    <col min="9" max="9" width="0.28515625" style="29" customWidth="1"/>
    <col min="10" max="10" width="9.5703125" customWidth="1"/>
    <col min="11" max="11" width="13.140625" customWidth="1"/>
    <col min="12" max="12" width="9" customWidth="1"/>
    <col min="13" max="13" width="11.85546875" style="1" bestFit="1" customWidth="1"/>
    <col min="14" max="14" width="11.7109375" style="1" customWidth="1"/>
    <col min="15" max="15" width="12.7109375" style="1" bestFit="1" customWidth="1"/>
    <col min="16" max="16" width="11.140625" style="1" bestFit="1" customWidth="1"/>
    <col min="17" max="17" width="0.28515625" style="1" customWidth="1"/>
    <col min="18" max="18" width="5.28515625" customWidth="1"/>
    <col min="19" max="20" width="5.28515625" style="29" customWidth="1"/>
    <col min="21" max="23" width="9.140625" style="29" hidden="1" customWidth="1"/>
    <col min="24" max="24" width="9.140625" hidden="1" customWidth="1"/>
    <col min="25" max="25" width="9.140625" customWidth="1"/>
    <col min="26" max="26" width="0.28515625" style="1" customWidth="1"/>
    <col min="27" max="27" width="13" style="29" bestFit="1" customWidth="1"/>
    <col min="28" max="28" width="11" style="29" customWidth="1"/>
    <col min="29" max="30" width="9.140625" style="29" hidden="1" customWidth="1"/>
    <col min="31" max="31" width="11.5703125" customWidth="1"/>
    <col min="32" max="32" width="0.28515625" style="1" customWidth="1"/>
    <col min="33" max="33" width="13.42578125" style="1" bestFit="1" customWidth="1"/>
    <col min="34" max="34" width="48.28515625" style="1" bestFit="1" customWidth="1"/>
    <col min="35" max="35" width="52" style="1" bestFit="1" customWidth="1"/>
    <col min="36" max="16384" width="9.140625" hidden="1"/>
  </cols>
  <sheetData>
    <row r="1" spans="1:37" s="6" customFormat="1">
      <c r="I1" s="25"/>
      <c r="S1" s="25"/>
      <c r="T1" s="25"/>
      <c r="U1" s="25"/>
      <c r="V1" s="25"/>
      <c r="W1" s="25"/>
      <c r="AA1" s="25"/>
      <c r="AB1" s="25"/>
      <c r="AC1" s="25"/>
      <c r="AD1" s="25"/>
    </row>
    <row r="2" spans="1:37" s="7" customFormat="1">
      <c r="D2" s="60" t="s">
        <v>16</v>
      </c>
      <c r="E2" s="60"/>
      <c r="I2" s="26"/>
      <c r="S2" s="26"/>
      <c r="T2" s="26"/>
      <c r="U2" s="26"/>
      <c r="V2" s="26"/>
      <c r="W2" s="26"/>
      <c r="AA2" s="26"/>
      <c r="AB2" s="26"/>
      <c r="AC2" s="26"/>
      <c r="AD2" s="26"/>
    </row>
    <row r="3" spans="1:37" s="7" customFormat="1">
      <c r="C3" s="8"/>
      <c r="D3" s="60"/>
      <c r="E3" s="60"/>
      <c r="I3" s="26"/>
      <c r="S3" s="26"/>
      <c r="T3" s="26"/>
      <c r="U3" s="26"/>
      <c r="V3" s="26"/>
      <c r="W3" s="26"/>
      <c r="AA3" s="26"/>
      <c r="AB3" s="26"/>
      <c r="AC3" s="26"/>
      <c r="AD3" s="26"/>
    </row>
    <row r="4" spans="1:37" s="7" customFormat="1" ht="12" customHeight="1">
      <c r="C4" s="8"/>
      <c r="D4" s="30"/>
      <c r="E4" s="30"/>
      <c r="I4" s="26"/>
      <c r="S4" s="26"/>
      <c r="T4" s="26"/>
      <c r="U4" s="26"/>
      <c r="V4" s="26"/>
      <c r="W4" s="26"/>
      <c r="AA4" s="26"/>
      <c r="AB4" s="26"/>
      <c r="AC4" s="26"/>
      <c r="AD4" s="26"/>
    </row>
    <row r="5" spans="1:37" s="7" customFormat="1">
      <c r="D5" s="59" t="s">
        <v>49</v>
      </c>
      <c r="E5" s="59"/>
      <c r="F5" s="54"/>
      <c r="G5" s="55"/>
      <c r="H5" s="56" t="s">
        <v>5</v>
      </c>
      <c r="I5" s="26"/>
      <c r="S5" s="26"/>
      <c r="T5" s="26"/>
      <c r="U5" s="26"/>
      <c r="V5" s="26"/>
      <c r="W5" s="26"/>
      <c r="AA5" s="26"/>
      <c r="AB5" s="26"/>
      <c r="AC5" s="26"/>
      <c r="AD5" s="26"/>
    </row>
    <row r="6" spans="1:37" s="7" customFormat="1" ht="6.75" customHeight="1">
      <c r="C6" s="8"/>
      <c r="D6" s="31"/>
      <c r="E6" s="9"/>
      <c r="I6" s="26"/>
      <c r="S6" s="26"/>
      <c r="T6" s="26"/>
      <c r="U6" s="26"/>
      <c r="V6" s="26"/>
      <c r="W6" s="26"/>
      <c r="AA6" s="26"/>
      <c r="AB6" s="26"/>
      <c r="AC6" s="26"/>
      <c r="AD6" s="26"/>
    </row>
    <row r="7" spans="1:37" s="6" customFormat="1">
      <c r="D7" s="61" t="s">
        <v>59</v>
      </c>
      <c r="E7" s="61"/>
      <c r="F7" s="61"/>
      <c r="G7" s="61"/>
      <c r="H7" s="61"/>
      <c r="I7" s="25"/>
      <c r="J7" s="61" t="s">
        <v>46</v>
      </c>
      <c r="K7" s="61"/>
      <c r="L7" s="61"/>
      <c r="M7" s="61"/>
      <c r="N7" s="61"/>
      <c r="O7" s="61"/>
      <c r="P7" s="61"/>
      <c r="R7" s="58" t="s">
        <v>60</v>
      </c>
      <c r="S7" s="58"/>
      <c r="T7" s="58"/>
      <c r="U7" s="58"/>
      <c r="V7" s="58"/>
      <c r="W7" s="58"/>
      <c r="X7" s="58"/>
      <c r="Y7" s="58"/>
      <c r="Z7" s="32"/>
      <c r="AA7" s="62" t="s">
        <v>25</v>
      </c>
      <c r="AB7" s="62"/>
      <c r="AC7" s="62"/>
      <c r="AD7" s="62"/>
      <c r="AE7" s="62"/>
      <c r="AF7" s="7"/>
      <c r="AG7" s="58" t="s">
        <v>61</v>
      </c>
      <c r="AH7" s="58"/>
      <c r="AI7" s="58"/>
    </row>
    <row r="8" spans="1:37" ht="78" customHeight="1">
      <c r="A8" s="6"/>
      <c r="B8" s="1" t="s">
        <v>2</v>
      </c>
      <c r="C8" s="2" t="s">
        <v>30</v>
      </c>
      <c r="D8" s="2" t="s">
        <v>3</v>
      </c>
      <c r="E8" s="2" t="s">
        <v>28</v>
      </c>
      <c r="F8" s="2" t="s">
        <v>31</v>
      </c>
      <c r="G8" s="5" t="s">
        <v>4</v>
      </c>
      <c r="H8" s="2" t="s">
        <v>0</v>
      </c>
      <c r="I8" s="33" t="s">
        <v>57</v>
      </c>
      <c r="J8" s="2" t="s">
        <v>52</v>
      </c>
      <c r="K8" s="2" t="s">
        <v>37</v>
      </c>
      <c r="L8" s="2" t="s">
        <v>29</v>
      </c>
      <c r="M8" s="5" t="s">
        <v>50</v>
      </c>
      <c r="N8" s="5" t="s">
        <v>51</v>
      </c>
      <c r="O8" s="2" t="s">
        <v>68</v>
      </c>
      <c r="P8" s="5" t="s">
        <v>62</v>
      </c>
      <c r="Q8" s="37" t="s">
        <v>55</v>
      </c>
      <c r="R8" s="2" t="s">
        <v>47</v>
      </c>
      <c r="S8" s="2" t="s">
        <v>48</v>
      </c>
      <c r="T8" s="2" t="s">
        <v>21</v>
      </c>
      <c r="U8" s="27" t="s">
        <v>40</v>
      </c>
      <c r="V8" s="27" t="s">
        <v>41</v>
      </c>
      <c r="W8" s="27" t="s">
        <v>42</v>
      </c>
      <c r="X8" s="27" t="s">
        <v>43</v>
      </c>
      <c r="Y8" s="27" t="s">
        <v>44</v>
      </c>
      <c r="Z8" s="36" t="s">
        <v>58</v>
      </c>
      <c r="AA8" s="2" t="s">
        <v>17</v>
      </c>
      <c r="AB8" s="2" t="s">
        <v>18</v>
      </c>
      <c r="AC8" s="27" t="s">
        <v>39</v>
      </c>
      <c r="AD8" s="27" t="s">
        <v>38</v>
      </c>
      <c r="AE8" s="27" t="s">
        <v>32</v>
      </c>
      <c r="AF8" s="51" t="s">
        <v>56</v>
      </c>
      <c r="AG8" s="52" t="s">
        <v>63</v>
      </c>
      <c r="AH8" s="52" t="s">
        <v>64</v>
      </c>
      <c r="AI8" s="52" t="s">
        <v>65</v>
      </c>
      <c r="AJ8" s="18" t="s">
        <v>8</v>
      </c>
      <c r="AK8" s="6"/>
    </row>
    <row r="9" spans="1:37">
      <c r="A9" s="6"/>
      <c r="B9" s="71" t="str">
        <f>IF(Table3[[#This Row],[Rated Motor Power
'[kW']]]&gt;0,ROW(Table3[[#This Row],[Motor Code
'[Identity']]])-ROW(Table3[[#Headers],[Motor Code
'[Identity']]]),"")</f>
        <v/>
      </c>
      <c r="C9" s="72"/>
      <c r="D9" s="72"/>
      <c r="E9" s="73"/>
      <c r="F9" s="72"/>
      <c r="G9" s="74">
        <f>IF(Table3[[#This Row],[Measured Motor Power at Full Load
'[kW']]]=0,Table3[[#This Row],[Rated Motor Power
'[kW']]]*Table3[[#This Row],[Design Efficiency
'[%']]],Table3[[#This Row],[Measured Motor Power at Full Load
'[kW']]])</f>
        <v>0</v>
      </c>
      <c r="H9" s="72"/>
      <c r="I9" s="75"/>
      <c r="J9" s="72"/>
      <c r="K9" s="72"/>
      <c r="L9" s="76"/>
      <c r="M9" s="85" t="str">
        <f>IF(Table3[[#This Row],[VFD Installed or Not!]]="No", IF(Table3[[#This Row],[Motor Load Type
'[Variable or Constant']]]="Variable",(Table3[[#This Row],[Rated Motor Power
'[kW']]]/Table3[[#This Row],[Design Efficiency
'[%']]]*0.7*0.96*(1-Table3[[#This Row],[Average Load on motor
'[%']]])*Table3[[#This Row],[Annual Operation
'[hrs/y']]]),"N/A"),"N/A")</f>
        <v>N/A</v>
      </c>
      <c r="N9" s="86">
        <f>IF(Table3[[#This Row],[Energy Saving for Installing VFD
'[kWh/y']]]="N/A",0,Table3[[#This Row],[Energy Saving for Installing VFD
'[kWh/y']]]*$F$5)/1000000</f>
        <v>0</v>
      </c>
      <c r="O9" s="102"/>
      <c r="P9" s="86" t="str">
        <f>IF(Table3[[#This Row],[Energy Saving for Installing VFD
'[MPKR/y']]]=0,"N/A", Table3[[#This Row],[Investment for VFD
'[MPKR']]]*12/Table3[[#This Row],[Energy Saving for Installing VFD
'[MPKR/y']]])</f>
        <v>N/A</v>
      </c>
      <c r="Q9" s="87"/>
      <c r="R9" s="72"/>
      <c r="S9" s="72"/>
      <c r="T9" s="72"/>
      <c r="U9" s="80">
        <f>IF(Table3[[#This Row],[R]]*Table3[[#This Row],[Y]]*Table3[[#This Row],[B]]&gt;0,AVERAGE(Table3[[#This Row],[R]:[B]]),0)</f>
        <v>0</v>
      </c>
      <c r="V9" s="80">
        <f>SQRT((Table3[[#This Row],[Average Voltage ]]-Table3[[#This Row],[R]])^2)</f>
        <v>0</v>
      </c>
      <c r="W9" s="80">
        <f>SQRT((Table3[[#This Row],[Average Voltage ]]-Table3[[#This Row],[Y]])^2)</f>
        <v>0</v>
      </c>
      <c r="X9" s="80">
        <f>SQRT((Table3[[#This Row],[Average Voltage ]]-Table3[[#This Row],[B]])^2)</f>
        <v>0</v>
      </c>
      <c r="Y9" s="81">
        <f>IF(Table3[[#This Row],[Average Voltage ]]&gt;0,MAX(Table3[[#This Row],[ΔV1]:[ΔV3]])/Table3[[#This Row],[Average Voltage ]],0)</f>
        <v>0</v>
      </c>
      <c r="Z9" s="82"/>
      <c r="AA9" s="72"/>
      <c r="AB9" s="72"/>
      <c r="AC9" s="83">
        <f>IF(Table3[[#This Row],[Motor Insulation Class]]=0,0,VLOOKUP(Table3[[#This Row],[Motor Insulation Class]],Table4[],2,FALSE))</f>
        <v>0</v>
      </c>
      <c r="AD9" s="83">
        <f>IF(Table3[[#This Row],[Motor Insulation Class]]=0,0,VLOOKUP(Table3[[#This Row],[Motor Insulation Class]],Table4[],3,FALSE))</f>
        <v>0</v>
      </c>
      <c r="AE9" s="83">
        <f>IF(Table3[[#This Row],[Average Load on motor
'[%']]]&lt;1,Table3[[#This Row],[Suggested temperature (SF &lt;1)]],Table3[[#This Row],[Suggested temperature (SF &gt;1)]])</f>
        <v>0</v>
      </c>
      <c r="AF9" s="84"/>
      <c r="AG9" s="77" t="str">
        <f>IF(Table3[[#This Row],[Payback Period
'[months']]]&gt;24,"","Install VFD")</f>
        <v/>
      </c>
      <c r="AH9" s="77" t="str">
        <f>IF(Table3[[#This Row],[Voltage Imbalance
'[%']]]&gt;0.05,"Check cable sizes, loose connections or load balance","")</f>
        <v/>
      </c>
      <c r="AI9" s="77" t="str">
        <f>IF(Table3[[#This Row],[Motor Temperature
'[⁰C']]]&gt;Table3[[#This Row],[Recommended Motor Temperature
'[⁰C']]],"Check Cooling, Monitor Load and Temperature Regularly","")</f>
        <v/>
      </c>
      <c r="AJ9" s="72"/>
      <c r="AK9" s="6"/>
    </row>
    <row r="10" spans="1:37">
      <c r="A10" s="6"/>
      <c r="B10" s="71" t="str">
        <f>IF(Table3[[#This Row],[Rated Motor Power
'[kW']]]&gt;0,ROW(Table3[[#This Row],[Motor Code
'[Identity']]])-ROW(Table3[[#Headers],[Motor Code
'[Identity']]]),"")</f>
        <v/>
      </c>
      <c r="C10" s="72"/>
      <c r="D10" s="72"/>
      <c r="E10" s="73"/>
      <c r="F10" s="72"/>
      <c r="G10" s="74"/>
      <c r="H10" s="72"/>
      <c r="I10" s="75"/>
      <c r="J10" s="72"/>
      <c r="K10" s="72"/>
      <c r="L10" s="76"/>
      <c r="M10" s="85" t="str">
        <f>IF(Table3[[#This Row],[VFD Installed or Not!]]="No", IF(Table3[[#This Row],[Motor Load Type
'[Variable or Constant']]]="Variable",(Table3[[#This Row],[Rated Motor Power
'[kW']]]/Table3[[#This Row],[Design Efficiency
'[%']]]*0.7*0.96*(1-Table3[[#This Row],[Average Load on motor
'[%']]])*Table3[[#This Row],[Annual Operation
'[hrs/y']]]),"N/A"),"N/A")</f>
        <v>N/A</v>
      </c>
      <c r="N10" s="78">
        <f>IF(Table3[[#This Row],[Energy Saving for Installing VFD
'[kWh/y']]]="N/A",0,Table3[[#This Row],[Energy Saving for Installing VFD
'[kWh/y']]]*$F$5)/1000000</f>
        <v>0</v>
      </c>
      <c r="O10" s="79"/>
      <c r="P10" s="86" t="str">
        <f>IF(Table3[[#This Row],[Energy Saving for Installing VFD
'[MPKR/y']]]=0,"N/A", Table3[[#This Row],[Investment for VFD
'[MPKR']]]*12/Table3[[#This Row],[Energy Saving for Installing VFD
'[MPKR/y']]])</f>
        <v>N/A</v>
      </c>
      <c r="Q10" s="87"/>
      <c r="R10" s="72"/>
      <c r="S10" s="72"/>
      <c r="T10" s="72"/>
      <c r="U10" s="83">
        <f>IF(Table3[[#This Row],[R]]*Table3[[#This Row],[Y]]*Table3[[#This Row],[B]]&gt;0,AVERAGE(Table3[[#This Row],[R]:[B]]),0)</f>
        <v>0</v>
      </c>
      <c r="V10" s="83">
        <f>SQRT((Table3[[#This Row],[Average Voltage ]]-Table3[[#This Row],[R]])^2)</f>
        <v>0</v>
      </c>
      <c r="W10" s="80">
        <f>SQRT((Table3[[#This Row],[Average Voltage ]]-Table3[[#This Row],[Y]])^2)</f>
        <v>0</v>
      </c>
      <c r="X10" s="80">
        <f>SQRT((Table3[[#This Row],[Average Voltage ]]-Table3[[#This Row],[B]])^2)</f>
        <v>0</v>
      </c>
      <c r="Y10" s="81">
        <f>IF(Table3[[#This Row],[Average Voltage ]]&gt;0,MAX(Table3[[#This Row],[ΔV1]:[ΔV3]])/Table3[[#This Row],[Average Voltage ]],0)</f>
        <v>0</v>
      </c>
      <c r="Z10" s="82"/>
      <c r="AA10" s="72"/>
      <c r="AB10" s="72"/>
      <c r="AC10" s="83">
        <f>IF(Table3[[#This Row],[Motor Insulation Class]]=0,0,VLOOKUP(Table3[[#This Row],[Motor Insulation Class]],Table4[],2,FALSE))</f>
        <v>0</v>
      </c>
      <c r="AD10" s="83">
        <f>IF(Table3[[#This Row],[Motor Insulation Class]]=0,0,VLOOKUP(Table3[[#This Row],[Motor Insulation Class]],Table4[],3,FALSE))</f>
        <v>0</v>
      </c>
      <c r="AE10" s="83">
        <f>IF(Table3[[#This Row],[Average Load on motor
'[%']]]&lt;1,Table3[[#This Row],[Suggested temperature (SF &lt;1)]],Table3[[#This Row],[Suggested temperature (SF &gt;1)]])</f>
        <v>0</v>
      </c>
      <c r="AF10" s="84"/>
      <c r="AG10" s="77" t="str">
        <f>IF(Table3[[#This Row],[Payback Period
'[months']]]&gt;24,"","Install VFD")</f>
        <v/>
      </c>
      <c r="AH10" s="77" t="str">
        <f>IF(Table3[[#This Row],[Voltage Imbalance
'[%']]]&gt;0.05,"Check cable sizes, loose connections or load balance","")</f>
        <v/>
      </c>
      <c r="AI10" s="77" t="str">
        <f>IF(Table3[[#This Row],[Motor Temperature
'[⁰C']]]&gt;Table3[[#This Row],[Recommended Motor Temperature
'[⁰C']]],"Check Cooling, Monitor Load and Temperature Regularly","")</f>
        <v/>
      </c>
      <c r="AJ10" s="72"/>
      <c r="AK10" s="6"/>
    </row>
    <row r="11" spans="1:37">
      <c r="A11" s="6"/>
      <c r="B11" s="71" t="str">
        <f>IF(Table3[[#This Row],[Rated Motor Power
'[kW']]]&gt;0,ROW(Table3[[#This Row],[Motor Code
'[Identity']]])-ROW(Table3[[#Headers],[Motor Code
'[Identity']]]),"")</f>
        <v/>
      </c>
      <c r="C11" s="72"/>
      <c r="D11" s="72"/>
      <c r="E11" s="76"/>
      <c r="F11" s="72"/>
      <c r="G11" s="74">
        <f>IF(Table3[[#This Row],[Measured Motor Power at Full Load
'[kW']]]=0,Table3[[#This Row],[Rated Motor Power
'[kW']]]*Table3[[#This Row],[Design Efficiency
'[%']]],Table3[[#This Row],[Measured Motor Power at Full Load
'[kW']]])</f>
        <v>0</v>
      </c>
      <c r="H11" s="72"/>
      <c r="I11" s="75"/>
      <c r="J11" s="72"/>
      <c r="K11" s="72"/>
      <c r="L11" s="76"/>
      <c r="M11" s="85" t="str">
        <f>IF(Table3[[#This Row],[VFD Installed or Not!]]="No", IF(Table3[[#This Row],[Motor Load Type
'[Variable or Constant']]]="Variable",(Table3[[#This Row],[Rated Motor Power
'[kW']]]/Table3[[#This Row],[Design Efficiency
'[%']]]*0.7*0.96*(1-Table3[[#This Row],[Average Load on motor
'[%']]])*Table3[[#This Row],[Annual Operation
'[hrs/y']]]),"N/A"),"N/A")</f>
        <v>N/A</v>
      </c>
      <c r="N11" s="78">
        <f>IF(Table3[[#This Row],[Energy Saving for Installing VFD
'[kWh/y']]]="N/A",0,Table3[[#This Row],[Energy Saving for Installing VFD
'[kWh/y']]]*$F$5)/1000000</f>
        <v>0</v>
      </c>
      <c r="O11" s="79"/>
      <c r="P11" s="86" t="str">
        <f>IF(Table3[[#This Row],[Energy Saving for Installing VFD
'[MPKR/y']]]=0,"N/A", Table3[[#This Row],[Investment for VFD
'[MPKR']]]*12/Table3[[#This Row],[Energy Saving for Installing VFD
'[MPKR/y']]])</f>
        <v>N/A</v>
      </c>
      <c r="Q11" s="87"/>
      <c r="R11" s="72"/>
      <c r="S11" s="72"/>
      <c r="T11" s="72"/>
      <c r="U11" s="83">
        <f>IF(Table3[[#This Row],[R]]*Table3[[#This Row],[Y]]*Table3[[#This Row],[B]]&gt;0,AVERAGE(Table3[[#This Row],[R]:[B]]),0)</f>
        <v>0</v>
      </c>
      <c r="V11" s="83">
        <f>SQRT((Table3[[#This Row],[Average Voltage ]]-Table3[[#This Row],[R]])^2)</f>
        <v>0</v>
      </c>
      <c r="W11" s="80">
        <f>SQRT((Table3[[#This Row],[Average Voltage ]]-Table3[[#This Row],[Y]])^2)</f>
        <v>0</v>
      </c>
      <c r="X11" s="80">
        <f>SQRT((Table3[[#This Row],[Average Voltage ]]-Table3[[#This Row],[B]])^2)</f>
        <v>0</v>
      </c>
      <c r="Y11" s="81">
        <f>IF(Table3[[#This Row],[Average Voltage ]]&gt;0,MAX(Table3[[#This Row],[ΔV1]:[ΔV3]])/Table3[[#This Row],[Average Voltage ]],0)</f>
        <v>0</v>
      </c>
      <c r="Z11" s="82"/>
      <c r="AA11" s="72"/>
      <c r="AB11" s="72"/>
      <c r="AC11" s="83">
        <f>IF(Table3[[#This Row],[Motor Insulation Class]]=0,0,VLOOKUP(Table3[[#This Row],[Motor Insulation Class]],Table4[],2,FALSE))</f>
        <v>0</v>
      </c>
      <c r="AD11" s="83">
        <f>IF(Table3[[#This Row],[Motor Insulation Class]]=0,0,VLOOKUP(Table3[[#This Row],[Motor Insulation Class]],Table4[],3,FALSE))</f>
        <v>0</v>
      </c>
      <c r="AE11" s="83">
        <f>IF(Table3[[#This Row],[Average Load on motor
'[%']]]&lt;1,Table3[[#This Row],[Suggested temperature (SF &lt;1)]],Table3[[#This Row],[Suggested temperature (SF &gt;1)]])</f>
        <v>0</v>
      </c>
      <c r="AF11" s="84"/>
      <c r="AG11" s="77" t="str">
        <f>IF(Table3[[#This Row],[Payback Period
'[months']]]&gt;24,"","Install VFD")</f>
        <v/>
      </c>
      <c r="AH11" s="77" t="str">
        <f>IF(Table3[[#This Row],[Voltage Imbalance
'[%']]]&gt;0.05,"Check cable sizes, loose connections or load balance","")</f>
        <v/>
      </c>
      <c r="AI11" s="77" t="str">
        <f>IF(Table3[[#This Row],[Motor Temperature
'[⁰C']]]&gt;Table3[[#This Row],[Recommended Motor Temperature
'[⁰C']]],"Check Cooling, Monitor Load and Temperature Regularly","")</f>
        <v/>
      </c>
      <c r="AJ11" s="72"/>
      <c r="AK11" s="6"/>
    </row>
    <row r="12" spans="1:37">
      <c r="A12" s="6"/>
      <c r="B12" s="88" t="str">
        <f>IF(Table3[[#This Row],[Rated Motor Power
'[kW']]]&gt;0,ROW(Table3[[#This Row],[Motor Code
'[Identity']]])-ROW(Table3[[#Headers],[Motor Code
'[Identity']]]),"")</f>
        <v/>
      </c>
      <c r="C12" s="72"/>
      <c r="D12" s="72"/>
      <c r="E12" s="76"/>
      <c r="F12" s="72"/>
      <c r="G12" s="89">
        <f>IF(Table3[[#This Row],[Measured Motor Power at Full Load
'[kW']]]=0,Table3[[#This Row],[Rated Motor Power
'[kW']]]*Table3[[#This Row],[Design Efficiency
'[%']]],Table3[[#This Row],[Measured Motor Power at Full Load
'[kW']]])</f>
        <v>0</v>
      </c>
      <c r="H12" s="72"/>
      <c r="I12" s="75"/>
      <c r="J12" s="72"/>
      <c r="K12" s="72"/>
      <c r="L12" s="76"/>
      <c r="M12" s="85" t="str">
        <f>IF(Table3[[#This Row],[VFD Installed or Not!]]="No", IF(Table3[[#This Row],[Motor Load Type
'[Variable or Constant']]]="Variable",(Table3[[#This Row],[Rated Motor Power
'[kW']]]/Table3[[#This Row],[Design Efficiency
'[%']]]*0.7*0.96*(1-Table3[[#This Row],[Average Load on motor
'[%']]])*Table3[[#This Row],[Annual Operation
'[hrs/y']]]),"N/A"),"N/A")</f>
        <v>N/A</v>
      </c>
      <c r="N12" s="78">
        <f>IF(Table3[[#This Row],[Energy Saving for Installing VFD
'[kWh/y']]]="N/A",0,Table3[[#This Row],[Energy Saving for Installing VFD
'[kWh/y']]]*$F$5)/1000000</f>
        <v>0</v>
      </c>
      <c r="O12" s="79"/>
      <c r="P12" s="86" t="str">
        <f>IF(Table3[[#This Row],[Energy Saving for Installing VFD
'[MPKR/y']]]=0,"N/A", Table3[[#This Row],[Investment for VFD
'[MPKR']]]*12/Table3[[#This Row],[Energy Saving for Installing VFD
'[MPKR/y']]])</f>
        <v>N/A</v>
      </c>
      <c r="Q12" s="87"/>
      <c r="R12" s="72"/>
      <c r="S12" s="72"/>
      <c r="T12" s="72"/>
      <c r="U12" s="90">
        <f>IF(Table3[[#This Row],[R]]*Table3[[#This Row],[Y]]*Table3[[#This Row],[B]]&gt;0,AVERAGE(Table3[[#This Row],[R]:[B]]),0)</f>
        <v>0</v>
      </c>
      <c r="V12" s="90">
        <f>SQRT((Table3[[#This Row],[Average Voltage ]]-Table3[[#This Row],[R]])^2)</f>
        <v>0</v>
      </c>
      <c r="W12" s="80">
        <f>SQRT((Table3[[#This Row],[Average Voltage ]]-Table3[[#This Row],[Y]])^2)</f>
        <v>0</v>
      </c>
      <c r="X12" s="80">
        <f>SQRT((Table3[[#This Row],[Average Voltage ]]-Table3[[#This Row],[B]])^2)</f>
        <v>0</v>
      </c>
      <c r="Y12" s="81">
        <f>IF(Table3[[#This Row],[Average Voltage ]]&gt;0,MAX(Table3[[#This Row],[ΔV1]:[ΔV3]])/Table3[[#This Row],[Average Voltage ]],0)</f>
        <v>0</v>
      </c>
      <c r="Z12" s="82"/>
      <c r="AA12" s="72"/>
      <c r="AB12" s="72"/>
      <c r="AC12" s="90">
        <f>IF(Table3[[#This Row],[Motor Insulation Class]]=0,0,VLOOKUP(Table3[[#This Row],[Motor Insulation Class]],Table4[],2,FALSE))</f>
        <v>0</v>
      </c>
      <c r="AD12" s="90">
        <f>IF(Table3[[#This Row],[Motor Insulation Class]]=0,0,VLOOKUP(Table3[[#This Row],[Motor Insulation Class]],Table4[],3,FALSE))</f>
        <v>0</v>
      </c>
      <c r="AE12" s="90">
        <f>IF(Table3[[#This Row],[Average Load on motor
'[%']]]&lt;1,Table3[[#This Row],[Suggested temperature (SF &lt;1)]],Table3[[#This Row],[Suggested temperature (SF &gt;1)]])</f>
        <v>0</v>
      </c>
      <c r="AF12" s="84"/>
      <c r="AG12" s="77" t="str">
        <f>IF(Table3[[#This Row],[Payback Period
'[months']]]&gt;24,"","Install VFD")</f>
        <v/>
      </c>
      <c r="AH12" s="77" t="str">
        <f>IF(Table3[[#This Row],[Voltage Imbalance
'[%']]]&gt;0.05,"Check cable sizes, loose connections or load balance","")</f>
        <v/>
      </c>
      <c r="AI12" s="77" t="str">
        <f>IF(Table3[[#This Row],[Motor Temperature
'[⁰C']]]&gt;Table3[[#This Row],[Recommended Motor Temperature
'[⁰C']]],"Check Cooling, Monitor Load and Temperature Regularly","")</f>
        <v/>
      </c>
      <c r="AJ12" s="72"/>
      <c r="AK12" s="6"/>
    </row>
    <row r="13" spans="1:37">
      <c r="A13" s="6"/>
      <c r="B13" s="71" t="str">
        <f>IF(Table3[[#This Row],[Rated Motor Power
'[kW']]]&gt;0,ROW(Table3[[#This Row],[Motor Code
'[Identity']]])-ROW(Table3[[#Headers],[Motor Code
'[Identity']]]),"")</f>
        <v/>
      </c>
      <c r="C13" s="72"/>
      <c r="D13" s="72"/>
      <c r="E13" s="76"/>
      <c r="F13" s="72"/>
      <c r="G13" s="74">
        <f>IF(Table3[[#This Row],[Measured Motor Power at Full Load
'[kW']]]=0,Table3[[#This Row],[Rated Motor Power
'[kW']]]*Table3[[#This Row],[Design Efficiency
'[%']]],Table3[[#This Row],[Measured Motor Power at Full Load
'[kW']]])</f>
        <v>0</v>
      </c>
      <c r="H13" s="72"/>
      <c r="I13" s="75"/>
      <c r="J13" s="72"/>
      <c r="K13" s="72"/>
      <c r="L13" s="76"/>
      <c r="M13" s="85" t="str">
        <f>IF(Table3[[#This Row],[VFD Installed or Not!]]="No", IF(Table3[[#This Row],[Motor Load Type
'[Variable or Constant']]]="Variable",(Table3[[#This Row],[Rated Motor Power
'[kW']]]/Table3[[#This Row],[Design Efficiency
'[%']]]*0.7*0.96*(1-Table3[[#This Row],[Average Load on motor
'[%']]])*Table3[[#This Row],[Annual Operation
'[hrs/y']]]),"N/A"),"N/A")</f>
        <v>N/A</v>
      </c>
      <c r="N13" s="78">
        <f>IF(Table3[[#This Row],[Energy Saving for Installing VFD
'[kWh/y']]]="N/A",0,Table3[[#This Row],[Energy Saving for Installing VFD
'[kWh/y']]]*$F$5)/1000000</f>
        <v>0</v>
      </c>
      <c r="O13" s="79"/>
      <c r="P13" s="86" t="str">
        <f>IF(Table3[[#This Row],[Energy Saving for Installing VFD
'[MPKR/y']]]=0,"N/A", Table3[[#This Row],[Investment for VFD
'[MPKR']]]*12/Table3[[#This Row],[Energy Saving for Installing VFD
'[MPKR/y']]])</f>
        <v>N/A</v>
      </c>
      <c r="Q13" s="87"/>
      <c r="R13" s="72"/>
      <c r="S13" s="72"/>
      <c r="T13" s="72"/>
      <c r="U13" s="83">
        <f>IF(Table3[[#This Row],[R]]*Table3[[#This Row],[Y]]*Table3[[#This Row],[B]]&gt;0,AVERAGE(Table3[[#This Row],[R]:[B]]),0)</f>
        <v>0</v>
      </c>
      <c r="V13" s="83">
        <f>SQRT((Table3[[#This Row],[Average Voltage ]]-Table3[[#This Row],[R]])^2)</f>
        <v>0</v>
      </c>
      <c r="W13" s="80">
        <f>SQRT((Table3[[#This Row],[Average Voltage ]]-Table3[[#This Row],[Y]])^2)</f>
        <v>0</v>
      </c>
      <c r="X13" s="80">
        <f>SQRT((Table3[[#This Row],[Average Voltage ]]-Table3[[#This Row],[B]])^2)</f>
        <v>0</v>
      </c>
      <c r="Y13" s="81">
        <f>IF(Table3[[#This Row],[Average Voltage ]]&gt;0,MAX(Table3[[#This Row],[ΔV1]:[ΔV3]])/Table3[[#This Row],[Average Voltage ]],0)</f>
        <v>0</v>
      </c>
      <c r="Z13" s="82"/>
      <c r="AA13" s="72"/>
      <c r="AB13" s="72"/>
      <c r="AC13" s="83">
        <f>IF(Table3[[#This Row],[Motor Insulation Class]]=0,0,VLOOKUP(Table3[[#This Row],[Motor Insulation Class]],Table4[],2,FALSE))</f>
        <v>0</v>
      </c>
      <c r="AD13" s="83">
        <f>IF(Table3[[#This Row],[Motor Insulation Class]]=0,0,VLOOKUP(Table3[[#This Row],[Motor Insulation Class]],Table4[],3,FALSE))</f>
        <v>0</v>
      </c>
      <c r="AE13" s="83">
        <f>IF(Table3[[#This Row],[Average Load on motor
'[%']]]&lt;1,Table3[[#This Row],[Suggested temperature (SF &lt;1)]],Table3[[#This Row],[Suggested temperature (SF &gt;1)]])</f>
        <v>0</v>
      </c>
      <c r="AF13" s="84"/>
      <c r="AG13" s="77" t="str">
        <f>IF(Table3[[#This Row],[Payback Period
'[months']]]&gt;24,"","Install VFD")</f>
        <v/>
      </c>
      <c r="AH13" s="77" t="str">
        <f>IF(Table3[[#This Row],[Voltage Imbalance
'[%']]]&gt;0.05,"Check cable sizes, loose connections or load balance","")</f>
        <v/>
      </c>
      <c r="AI13" s="77" t="str">
        <f>IF(Table3[[#This Row],[Motor Temperature
'[⁰C']]]&gt;Table3[[#This Row],[Recommended Motor Temperature
'[⁰C']]],"Check Cooling, Monitor Load and Temperature Regularly","")</f>
        <v/>
      </c>
      <c r="AJ13" s="72"/>
      <c r="AK13" s="6"/>
    </row>
    <row r="14" spans="1:37">
      <c r="A14" s="6"/>
      <c r="B14" s="71" t="str">
        <f>IF(Table3[[#This Row],[Rated Motor Power
'[kW']]]&gt;0,ROW(Table3[[#This Row],[Motor Code
'[Identity']]])-ROW(Table3[[#Headers],[Motor Code
'[Identity']]]),"")</f>
        <v/>
      </c>
      <c r="C14" s="72"/>
      <c r="D14" s="72"/>
      <c r="E14" s="76"/>
      <c r="F14" s="72"/>
      <c r="G14" s="74">
        <f>IF(Table3[[#This Row],[Measured Motor Power at Full Load
'[kW']]]=0,Table3[[#This Row],[Rated Motor Power
'[kW']]]*Table3[[#This Row],[Design Efficiency
'[%']]],Table3[[#This Row],[Measured Motor Power at Full Load
'[kW']]])</f>
        <v>0</v>
      </c>
      <c r="H14" s="72"/>
      <c r="I14" s="75"/>
      <c r="J14" s="72"/>
      <c r="K14" s="72"/>
      <c r="L14" s="76"/>
      <c r="M14" s="85" t="str">
        <f>IF(Table3[[#This Row],[VFD Installed or Not!]]="No", IF(Table3[[#This Row],[Motor Load Type
'[Variable or Constant']]]="Variable",(Table3[[#This Row],[Rated Motor Power
'[kW']]]/Table3[[#This Row],[Design Efficiency
'[%']]]*0.7*0.96*(1-Table3[[#This Row],[Average Load on motor
'[%']]])*Table3[[#This Row],[Annual Operation
'[hrs/y']]]),"N/A"),"N/A")</f>
        <v>N/A</v>
      </c>
      <c r="N14" s="78">
        <f>IF(Table3[[#This Row],[Energy Saving for Installing VFD
'[kWh/y']]]="N/A",0,Table3[[#This Row],[Energy Saving for Installing VFD
'[kWh/y']]]*$F$5)/1000000</f>
        <v>0</v>
      </c>
      <c r="O14" s="79"/>
      <c r="P14" s="86" t="str">
        <f>IF(Table3[[#This Row],[Energy Saving for Installing VFD
'[MPKR/y']]]=0,"N/A", Table3[[#This Row],[Investment for VFD
'[MPKR']]]*12/Table3[[#This Row],[Energy Saving for Installing VFD
'[MPKR/y']]])</f>
        <v>N/A</v>
      </c>
      <c r="Q14" s="87"/>
      <c r="R14" s="72"/>
      <c r="S14" s="72"/>
      <c r="T14" s="72"/>
      <c r="U14" s="83">
        <f>IF(Table3[[#This Row],[R]]*Table3[[#This Row],[Y]]*Table3[[#This Row],[B]]&gt;0,AVERAGE(Table3[[#This Row],[R]:[B]]),0)</f>
        <v>0</v>
      </c>
      <c r="V14" s="83">
        <f>SQRT((Table3[[#This Row],[Average Voltage ]]-Table3[[#This Row],[R]])^2)</f>
        <v>0</v>
      </c>
      <c r="W14" s="80">
        <f>SQRT((Table3[[#This Row],[Average Voltage ]]-Table3[[#This Row],[Y]])^2)</f>
        <v>0</v>
      </c>
      <c r="X14" s="80">
        <f>SQRT((Table3[[#This Row],[Average Voltage ]]-Table3[[#This Row],[B]])^2)</f>
        <v>0</v>
      </c>
      <c r="Y14" s="81">
        <f>IF(Table3[[#This Row],[Average Voltage ]]&gt;0,MAX(Table3[[#This Row],[ΔV1]:[ΔV3]])/Table3[[#This Row],[Average Voltage ]],0)</f>
        <v>0</v>
      </c>
      <c r="Z14" s="82"/>
      <c r="AA14" s="72"/>
      <c r="AB14" s="72"/>
      <c r="AC14" s="83">
        <f>IF(Table3[[#This Row],[Motor Insulation Class]]=0,0,VLOOKUP(Table3[[#This Row],[Motor Insulation Class]],Table4[],2,FALSE))</f>
        <v>0</v>
      </c>
      <c r="AD14" s="83">
        <f>IF(Table3[[#This Row],[Motor Insulation Class]]=0,0,VLOOKUP(Table3[[#This Row],[Motor Insulation Class]],Table4[],3,FALSE))</f>
        <v>0</v>
      </c>
      <c r="AE14" s="83">
        <f>IF(Table3[[#This Row],[Average Load on motor
'[%']]]&lt;1,Table3[[#This Row],[Suggested temperature (SF &lt;1)]],Table3[[#This Row],[Suggested temperature (SF &gt;1)]])</f>
        <v>0</v>
      </c>
      <c r="AF14" s="84"/>
      <c r="AG14" s="77" t="str">
        <f>IF(Table3[[#This Row],[Payback Period
'[months']]]&gt;24,"","Install VFD")</f>
        <v/>
      </c>
      <c r="AH14" s="77" t="str">
        <f>IF(Table3[[#This Row],[Voltage Imbalance
'[%']]]&gt;0.05,"Check cable sizes, loose connections or load balance","")</f>
        <v/>
      </c>
      <c r="AI14" s="77" t="str">
        <f>IF(Table3[[#This Row],[Motor Temperature
'[⁰C']]]&gt;Table3[[#This Row],[Recommended Motor Temperature
'[⁰C']]],"Check Cooling, Monitor Load and Temperature Regularly","")</f>
        <v/>
      </c>
      <c r="AJ14" s="72"/>
      <c r="AK14" s="6"/>
    </row>
    <row r="15" spans="1:37">
      <c r="A15" s="6"/>
      <c r="B15" s="71" t="str">
        <f>IF(Table3[[#This Row],[Rated Motor Power
'[kW']]]&gt;0,ROW(Table3[[#This Row],[Motor Code
'[Identity']]])-ROW(Table3[[#Headers],[Motor Code
'[Identity']]]),"")</f>
        <v/>
      </c>
      <c r="C15" s="72"/>
      <c r="D15" s="72"/>
      <c r="E15" s="76"/>
      <c r="F15" s="72"/>
      <c r="G15" s="74">
        <f>IF(Table3[[#This Row],[Measured Motor Power at Full Load
'[kW']]]=0,Table3[[#This Row],[Rated Motor Power
'[kW']]]*Table3[[#This Row],[Design Efficiency
'[%']]],Table3[[#This Row],[Measured Motor Power at Full Load
'[kW']]])</f>
        <v>0</v>
      </c>
      <c r="H15" s="72"/>
      <c r="I15" s="75"/>
      <c r="J15" s="72"/>
      <c r="K15" s="72"/>
      <c r="L15" s="76"/>
      <c r="M15" s="85" t="str">
        <f>IF(Table3[[#This Row],[VFD Installed or Not!]]="No", IF(Table3[[#This Row],[Motor Load Type
'[Variable or Constant']]]="Variable",(Table3[[#This Row],[Rated Motor Power
'[kW']]]/Table3[[#This Row],[Design Efficiency
'[%']]]*0.7*0.96*(1-Table3[[#This Row],[Average Load on motor
'[%']]])*Table3[[#This Row],[Annual Operation
'[hrs/y']]]),"N/A"),"N/A")</f>
        <v>N/A</v>
      </c>
      <c r="N15" s="78">
        <f>IF(Table3[[#This Row],[Energy Saving for Installing VFD
'[kWh/y']]]="N/A",0,Table3[[#This Row],[Energy Saving for Installing VFD
'[kWh/y']]]*$F$5)/1000000</f>
        <v>0</v>
      </c>
      <c r="O15" s="79"/>
      <c r="P15" s="86" t="str">
        <f>IF(Table3[[#This Row],[Energy Saving for Installing VFD
'[MPKR/y']]]=0,"N/A", Table3[[#This Row],[Investment for VFD
'[MPKR']]]*12/Table3[[#This Row],[Energy Saving for Installing VFD
'[MPKR/y']]])</f>
        <v>N/A</v>
      </c>
      <c r="Q15" s="87"/>
      <c r="R15" s="72"/>
      <c r="S15" s="72"/>
      <c r="T15" s="72"/>
      <c r="U15" s="83">
        <f>IF(Table3[[#This Row],[R]]*Table3[[#This Row],[Y]]*Table3[[#This Row],[B]]&gt;0,AVERAGE(Table3[[#This Row],[R]:[B]]),0)</f>
        <v>0</v>
      </c>
      <c r="V15" s="83">
        <f>SQRT((Table3[[#This Row],[Average Voltage ]]-Table3[[#This Row],[R]])^2)</f>
        <v>0</v>
      </c>
      <c r="W15" s="80">
        <f>SQRT((Table3[[#This Row],[Average Voltage ]]-Table3[[#This Row],[Y]])^2)</f>
        <v>0</v>
      </c>
      <c r="X15" s="80">
        <f>SQRT((Table3[[#This Row],[Average Voltage ]]-Table3[[#This Row],[B]])^2)</f>
        <v>0</v>
      </c>
      <c r="Y15" s="81">
        <f>IF(Table3[[#This Row],[Average Voltage ]]&gt;0,MAX(Table3[[#This Row],[ΔV1]:[ΔV3]])/Table3[[#This Row],[Average Voltage ]],0)</f>
        <v>0</v>
      </c>
      <c r="Z15" s="82"/>
      <c r="AA15" s="72"/>
      <c r="AB15" s="72"/>
      <c r="AC15" s="83">
        <f>IF(Table3[[#This Row],[Motor Insulation Class]]=0,0,VLOOKUP(Table3[[#This Row],[Motor Insulation Class]],Table4[],2,FALSE))</f>
        <v>0</v>
      </c>
      <c r="AD15" s="83">
        <f>IF(Table3[[#This Row],[Motor Insulation Class]]=0,0,VLOOKUP(Table3[[#This Row],[Motor Insulation Class]],Table4[],3,FALSE))</f>
        <v>0</v>
      </c>
      <c r="AE15" s="83">
        <f>IF(Table3[[#This Row],[Average Load on motor
'[%']]]&lt;1,Table3[[#This Row],[Suggested temperature (SF &lt;1)]],Table3[[#This Row],[Suggested temperature (SF &gt;1)]])</f>
        <v>0</v>
      </c>
      <c r="AF15" s="84"/>
      <c r="AG15" s="77" t="str">
        <f>IF(Table3[[#This Row],[Payback Period
'[months']]]&gt;24,"","Install VFD")</f>
        <v/>
      </c>
      <c r="AH15" s="77" t="str">
        <f>IF(Table3[[#This Row],[Voltage Imbalance
'[%']]]&gt;0.05,"Check cable sizes, loose connections or load balance","")</f>
        <v/>
      </c>
      <c r="AI15" s="77" t="str">
        <f>IF(Table3[[#This Row],[Motor Temperature
'[⁰C']]]&gt;Table3[[#This Row],[Recommended Motor Temperature
'[⁰C']]],"Check Cooling, Monitor Load and Temperature Regularly","")</f>
        <v/>
      </c>
      <c r="AJ15" s="72"/>
      <c r="AK15" s="6"/>
    </row>
    <row r="16" spans="1:37">
      <c r="A16" s="6"/>
      <c r="B16" s="88" t="str">
        <f>IF(Table3[[#This Row],[Rated Motor Power
'[kW']]]&gt;0,ROW(Table3[[#This Row],[Motor Code
'[Identity']]])-ROW(Table3[[#Headers],[Motor Code
'[Identity']]]),"")</f>
        <v/>
      </c>
      <c r="C16" s="72"/>
      <c r="D16" s="72"/>
      <c r="E16" s="76"/>
      <c r="F16" s="76"/>
      <c r="G16" s="89">
        <f>IF(Table3[[#This Row],[Measured Motor Power at Full Load
'[kW']]]=0,Table3[[#This Row],[Rated Motor Power
'[kW']]]*Table3[[#This Row],[Design Efficiency
'[%']]],Table3[[#This Row],[Measured Motor Power at Full Load
'[kW']]])</f>
        <v>0</v>
      </c>
      <c r="H16" s="72"/>
      <c r="I16" s="75"/>
      <c r="J16" s="72"/>
      <c r="K16" s="72"/>
      <c r="L16" s="76"/>
      <c r="M16" s="91" t="str">
        <f>IF(Table3[[#This Row],[VFD Installed or Not!]]="No", IF(Table3[[#This Row],[Motor Load Type
'[Variable or Constant']]]="Variable",(Table3[[#This Row],[Rated Motor Power
'[kW']]]/Table3[[#This Row],[Design Efficiency
'[%']]]*0.7*0.96*(1-Table3[[#This Row],[Average Load on motor
'[%']]])*Table3[[#This Row],[Annual Operation
'[hrs/y']]]),"N/A"),"N/A")</f>
        <v>N/A</v>
      </c>
      <c r="N16" s="92">
        <f>IF(Table3[[#This Row],[Energy Saving for Installing VFD
'[kWh/y']]]="N/A",0,Table3[[#This Row],[Energy Saving for Installing VFD
'[kWh/y']]]*$F$5)/1000000</f>
        <v>0</v>
      </c>
      <c r="O16" s="79"/>
      <c r="P16" s="93" t="str">
        <f>IF(Table3[[#This Row],[Energy Saving for Installing VFD
'[MPKR/y']]]=0,"N/A", Table3[[#This Row],[Investment for VFD
'[MPKR']]]*12/Table3[[#This Row],[Energy Saving for Installing VFD
'[MPKR/y']]])</f>
        <v>N/A</v>
      </c>
      <c r="Q16" s="87"/>
      <c r="R16" s="72"/>
      <c r="S16" s="72"/>
      <c r="T16" s="72"/>
      <c r="U16" s="90">
        <f>IF(Table3[[#This Row],[R]]*Table3[[#This Row],[Y]]*Table3[[#This Row],[B]]&gt;0,AVERAGE(Table3[[#This Row],[R]:[B]]),0)</f>
        <v>0</v>
      </c>
      <c r="V16" s="90">
        <f>SQRT((Table3[[#This Row],[Average Voltage ]]-Table3[[#This Row],[R]])^2)</f>
        <v>0</v>
      </c>
      <c r="W16" s="80">
        <f>SQRT((Table3[[#This Row],[Average Voltage ]]-Table3[[#This Row],[Y]])^2)</f>
        <v>0</v>
      </c>
      <c r="X16" s="80">
        <f>SQRT((Table3[[#This Row],[Average Voltage ]]-Table3[[#This Row],[B]])^2)</f>
        <v>0</v>
      </c>
      <c r="Y16" s="81">
        <f>IF(Table3[[#This Row],[Average Voltage ]]&gt;0,MAX(Table3[[#This Row],[ΔV1]:[ΔV3]])/Table3[[#This Row],[Average Voltage ]],0)</f>
        <v>0</v>
      </c>
      <c r="Z16" s="82"/>
      <c r="AA16" s="72"/>
      <c r="AB16" s="72"/>
      <c r="AC16" s="90">
        <f>IF(Table3[[#This Row],[Motor Insulation Class]]=0,0,VLOOKUP(Table3[[#This Row],[Motor Insulation Class]],Table4[],2,FALSE))</f>
        <v>0</v>
      </c>
      <c r="AD16" s="90">
        <f>IF(Table3[[#This Row],[Motor Insulation Class]]=0,0,VLOOKUP(Table3[[#This Row],[Motor Insulation Class]],Table4[],3,FALSE))</f>
        <v>0</v>
      </c>
      <c r="AE16" s="90">
        <f>IF(Table3[[#This Row],[Average Load on motor
'[%']]]&lt;1,Table3[[#This Row],[Suggested temperature (SF &lt;1)]],Table3[[#This Row],[Suggested temperature (SF &gt;1)]])</f>
        <v>0</v>
      </c>
      <c r="AF16" s="84"/>
      <c r="AG16" s="77" t="str">
        <f>IF(Table3[[#This Row],[Payback Period
'[months']]]&gt;24,"","Install VFD")</f>
        <v/>
      </c>
      <c r="AH16" s="77" t="str">
        <f>IF(Table3[[#This Row],[Voltage Imbalance
'[%']]]&gt;0.05,"Check cable sizes, loose connections or load balance","")</f>
        <v/>
      </c>
      <c r="AI16" s="77" t="str">
        <f>IF(Table3[[#This Row],[Motor Temperature
'[⁰C']]]&gt;Table3[[#This Row],[Recommended Motor Temperature
'[⁰C']]],"Check Cooling, Monitor Load and Temperature Regularly","")</f>
        <v/>
      </c>
      <c r="AJ16" s="72"/>
      <c r="AK16" s="6"/>
    </row>
    <row r="17" spans="1:61">
      <c r="A17" s="6"/>
      <c r="B17" s="88" t="str">
        <f>IF(Table3[[#This Row],[Rated Motor Power
'[kW']]]&gt;0,ROW(Table3[[#This Row],[Motor Code
'[Identity']]])-ROW(Table3[[#Headers],[Motor Code
'[Identity']]]),"")</f>
        <v/>
      </c>
      <c r="C17" s="72"/>
      <c r="D17" s="72"/>
      <c r="E17" s="76"/>
      <c r="F17" s="76"/>
      <c r="G17" s="89">
        <f>IF(Table3[[#This Row],[Measured Motor Power at Full Load
'[kW']]]=0,Table3[[#This Row],[Rated Motor Power
'[kW']]]*Table3[[#This Row],[Design Efficiency
'[%']]],Table3[[#This Row],[Measured Motor Power at Full Load
'[kW']]])</f>
        <v>0</v>
      </c>
      <c r="H17" s="72"/>
      <c r="I17" s="75"/>
      <c r="J17" s="72"/>
      <c r="K17" s="72"/>
      <c r="L17" s="76"/>
      <c r="M17" s="85" t="str">
        <f>IF(Table3[[#This Row],[VFD Installed or Not!]]="No", IF(Table3[[#This Row],[Motor Load Type
'[Variable or Constant']]]="Variable",(Table3[[#This Row],[Rated Motor Power
'[kW']]]/Table3[[#This Row],[Design Efficiency
'[%']]]*0.7*0.96*(1-Table3[[#This Row],[Average Load on motor
'[%']]])*Table3[[#This Row],[Annual Operation
'[hrs/y']]]),"N/A"),"N/A")</f>
        <v>N/A</v>
      </c>
      <c r="N17" s="78">
        <f>IF(Table3[[#This Row],[Energy Saving for Installing VFD
'[kWh/y']]]="N/A",0,Table3[[#This Row],[Energy Saving for Installing VFD
'[kWh/y']]]*$F$5)/1000000</f>
        <v>0</v>
      </c>
      <c r="O17" s="79"/>
      <c r="P17" s="86" t="str">
        <f>IF(Table3[[#This Row],[Energy Saving for Installing VFD
'[MPKR/y']]]=0,"N/A", Table3[[#This Row],[Investment for VFD
'[MPKR']]]*12/Table3[[#This Row],[Energy Saving for Installing VFD
'[MPKR/y']]])</f>
        <v>N/A</v>
      </c>
      <c r="Q17" s="87"/>
      <c r="R17" s="72"/>
      <c r="S17" s="72"/>
      <c r="T17" s="72"/>
      <c r="U17" s="90">
        <f>IF(Table3[[#This Row],[R]]*Table3[[#This Row],[Y]]*Table3[[#This Row],[B]]&gt;0,AVERAGE(Table3[[#This Row],[R]:[B]]),0)</f>
        <v>0</v>
      </c>
      <c r="V17" s="90">
        <f>SQRT((Table3[[#This Row],[Average Voltage ]]-Table3[[#This Row],[R]])^2)</f>
        <v>0</v>
      </c>
      <c r="W17" s="80">
        <f>SQRT((Table3[[#This Row],[Average Voltage ]]-Table3[[#This Row],[Y]])^2)</f>
        <v>0</v>
      </c>
      <c r="X17" s="80">
        <f>SQRT((Table3[[#This Row],[Average Voltage ]]-Table3[[#This Row],[B]])^2)</f>
        <v>0</v>
      </c>
      <c r="Y17" s="81">
        <f>IF(Table3[[#This Row],[Average Voltage ]]&gt;0,MAX(Table3[[#This Row],[ΔV1]:[ΔV3]])/Table3[[#This Row],[Average Voltage ]],0)</f>
        <v>0</v>
      </c>
      <c r="Z17" s="82"/>
      <c r="AA17" s="72"/>
      <c r="AB17" s="72"/>
      <c r="AC17" s="90">
        <f>IF(Table3[[#This Row],[Motor Insulation Class]]=0,0,VLOOKUP(Table3[[#This Row],[Motor Insulation Class]],Table4[],2,FALSE))</f>
        <v>0</v>
      </c>
      <c r="AD17" s="90">
        <f>IF(Table3[[#This Row],[Motor Insulation Class]]=0,0,VLOOKUP(Table3[[#This Row],[Motor Insulation Class]],Table4[],3,FALSE))</f>
        <v>0</v>
      </c>
      <c r="AE17" s="90">
        <f>IF(Table3[[#This Row],[Average Load on motor
'[%']]]&lt;1,Table3[[#This Row],[Suggested temperature (SF &lt;1)]],Table3[[#This Row],[Suggested temperature (SF &gt;1)]])</f>
        <v>0</v>
      </c>
      <c r="AF17" s="84"/>
      <c r="AG17" s="77" t="str">
        <f>IF(Table3[[#This Row],[Payback Period
'[months']]]&gt;24,"","Install VFD")</f>
        <v/>
      </c>
      <c r="AH17" s="77" t="str">
        <f>IF(Table3[[#This Row],[Voltage Imbalance
'[%']]]&gt;0.05,"Check cable sizes, loose connections or load balance","")</f>
        <v/>
      </c>
      <c r="AI17" s="77" t="str">
        <f>IF(Table3[[#This Row],[Motor Temperature
'[⁰C']]]&gt;Table3[[#This Row],[Recommended Motor Temperature
'[⁰C']]],"Check Cooling, Monitor Load and Temperature Regularly","")</f>
        <v/>
      </c>
      <c r="AJ17" s="72"/>
      <c r="AK17" s="6"/>
    </row>
    <row r="18" spans="1:61">
      <c r="A18" s="6"/>
      <c r="B18" s="71" t="str">
        <f>IF(Table3[[#This Row],[Rated Motor Power
'[kW']]]&gt;0,ROW(Table3[[#This Row],[Motor Code
'[Identity']]])-ROW(Table3[[#Headers],[Motor Code
'[Identity']]]),"")</f>
        <v/>
      </c>
      <c r="C18" s="72"/>
      <c r="D18" s="72"/>
      <c r="E18" s="76"/>
      <c r="F18" s="72"/>
      <c r="G18" s="74">
        <f>IF(Table3[[#This Row],[Measured Motor Power at Full Load
'[kW']]]=0,Table3[[#This Row],[Rated Motor Power
'[kW']]]*Table3[[#This Row],[Design Efficiency
'[%']]],Table3[[#This Row],[Measured Motor Power at Full Load
'[kW']]])</f>
        <v>0</v>
      </c>
      <c r="H18" s="72"/>
      <c r="I18" s="75"/>
      <c r="J18" s="72"/>
      <c r="K18" s="72"/>
      <c r="L18" s="76"/>
      <c r="M18" s="85" t="str">
        <f>IF(Table3[[#This Row],[VFD Installed or Not!]]="No", IF(Table3[[#This Row],[Motor Load Type
'[Variable or Constant']]]="Variable",(Table3[[#This Row],[Rated Motor Power
'[kW']]]/Table3[[#This Row],[Design Efficiency
'[%']]]*0.7*0.96*(1-Table3[[#This Row],[Average Load on motor
'[%']]])*Table3[[#This Row],[Annual Operation
'[hrs/y']]]),"N/A"),"N/A")</f>
        <v>N/A</v>
      </c>
      <c r="N18" s="78">
        <f>IF(Table3[[#This Row],[Energy Saving for Installing VFD
'[kWh/y']]]="N/A",0,Table3[[#This Row],[Energy Saving for Installing VFD
'[kWh/y']]]*$F$5)/1000000</f>
        <v>0</v>
      </c>
      <c r="O18" s="79"/>
      <c r="P18" s="86" t="str">
        <f>IF(Table3[[#This Row],[Energy Saving for Installing VFD
'[MPKR/y']]]=0,"N/A", Table3[[#This Row],[Investment for VFD
'[MPKR']]]*12/Table3[[#This Row],[Energy Saving for Installing VFD
'[MPKR/y']]])</f>
        <v>N/A</v>
      </c>
      <c r="Q18" s="87"/>
      <c r="R18" s="72"/>
      <c r="S18" s="72"/>
      <c r="T18" s="72"/>
      <c r="U18" s="83">
        <f>IF(Table3[[#This Row],[R]]*Table3[[#This Row],[Y]]*Table3[[#This Row],[B]]&gt;0,AVERAGE(Table3[[#This Row],[R]:[B]]),0)</f>
        <v>0</v>
      </c>
      <c r="V18" s="83">
        <f>SQRT((Table3[[#This Row],[Average Voltage ]]-Table3[[#This Row],[R]])^2)</f>
        <v>0</v>
      </c>
      <c r="W18" s="80">
        <f>SQRT((Table3[[#This Row],[Average Voltage ]]-Table3[[#This Row],[Y]])^2)</f>
        <v>0</v>
      </c>
      <c r="X18" s="80">
        <f>SQRT((Table3[[#This Row],[Average Voltage ]]-Table3[[#This Row],[B]])^2)</f>
        <v>0</v>
      </c>
      <c r="Y18" s="81">
        <f>IF(Table3[[#This Row],[Average Voltage ]]&gt;0,MAX(Table3[[#This Row],[ΔV1]:[ΔV3]])/Table3[[#This Row],[Average Voltage ]],0)</f>
        <v>0</v>
      </c>
      <c r="Z18" s="82"/>
      <c r="AA18" s="72"/>
      <c r="AB18" s="72"/>
      <c r="AC18" s="83">
        <f>IF(Table3[[#This Row],[Motor Insulation Class]]=0,0,VLOOKUP(Table3[[#This Row],[Motor Insulation Class]],Table4[],2,FALSE))</f>
        <v>0</v>
      </c>
      <c r="AD18" s="83">
        <f>IF(Table3[[#This Row],[Motor Insulation Class]]=0,0,VLOOKUP(Table3[[#This Row],[Motor Insulation Class]],Table4[],3,FALSE))</f>
        <v>0</v>
      </c>
      <c r="AE18" s="83">
        <f>IF(Table3[[#This Row],[Average Load on motor
'[%']]]&lt;1,Table3[[#This Row],[Suggested temperature (SF &lt;1)]],Table3[[#This Row],[Suggested temperature (SF &gt;1)]])</f>
        <v>0</v>
      </c>
      <c r="AF18" s="84"/>
      <c r="AG18" s="77" t="str">
        <f>IF(Table3[[#This Row],[Payback Period
'[months']]]&gt;24,"","Install VFD")</f>
        <v/>
      </c>
      <c r="AH18" s="77" t="str">
        <f>IF(Table3[[#This Row],[Voltage Imbalance
'[%']]]&gt;0.05,"Check cable sizes, loose connections or load balance","")</f>
        <v/>
      </c>
      <c r="AI18" s="77" t="str">
        <f>IF(Table3[[#This Row],[Motor Temperature
'[⁰C']]]&gt;Table3[[#This Row],[Recommended Motor Temperature
'[⁰C']]],"Check Cooling, Monitor Load and Temperature Regularly","")</f>
        <v/>
      </c>
      <c r="AJ18" s="72"/>
      <c r="AK18" s="6"/>
    </row>
    <row r="19" spans="1:61">
      <c r="A19" s="6"/>
      <c r="B19" s="71" t="str">
        <f>IF(Table3[[#This Row],[Rated Motor Power
'[kW']]]&gt;0,ROW(Table3[[#This Row],[Motor Code
'[Identity']]])-ROW(Table3[[#Headers],[Motor Code
'[Identity']]]),"")</f>
        <v/>
      </c>
      <c r="C19" s="72"/>
      <c r="D19" s="72"/>
      <c r="E19" s="76"/>
      <c r="F19" s="72"/>
      <c r="G19" s="74">
        <f>IF(Table3[[#This Row],[Measured Motor Power at Full Load
'[kW']]]=0,Table3[[#This Row],[Rated Motor Power
'[kW']]]*Table3[[#This Row],[Design Efficiency
'[%']]],Table3[[#This Row],[Measured Motor Power at Full Load
'[kW']]])</f>
        <v>0</v>
      </c>
      <c r="H19" s="72"/>
      <c r="I19" s="75"/>
      <c r="J19" s="72"/>
      <c r="K19" s="72"/>
      <c r="L19" s="76"/>
      <c r="M19" s="85" t="str">
        <f>IF(Table3[[#This Row],[VFD Installed or Not!]]="No", IF(Table3[[#This Row],[Motor Load Type
'[Variable or Constant']]]="Variable",(Table3[[#This Row],[Rated Motor Power
'[kW']]]/Table3[[#This Row],[Design Efficiency
'[%']]]*0.7*0.96*(1-Table3[[#This Row],[Average Load on motor
'[%']]])*Table3[[#This Row],[Annual Operation
'[hrs/y']]]),"N/A"),"N/A")</f>
        <v>N/A</v>
      </c>
      <c r="N19" s="78">
        <f>IF(Table3[[#This Row],[Energy Saving for Installing VFD
'[kWh/y']]]="N/A",0,Table3[[#This Row],[Energy Saving for Installing VFD
'[kWh/y']]]*$F$5)/1000000</f>
        <v>0</v>
      </c>
      <c r="O19" s="79"/>
      <c r="P19" s="86" t="str">
        <f>IF(Table3[[#This Row],[Energy Saving for Installing VFD
'[MPKR/y']]]=0,"N/A", Table3[[#This Row],[Investment for VFD
'[MPKR']]]*12/Table3[[#This Row],[Energy Saving for Installing VFD
'[MPKR/y']]])</f>
        <v>N/A</v>
      </c>
      <c r="Q19" s="87"/>
      <c r="R19" s="72"/>
      <c r="S19" s="72"/>
      <c r="T19" s="72"/>
      <c r="U19" s="83">
        <f>IF(Table3[[#This Row],[R]]*Table3[[#This Row],[Y]]*Table3[[#This Row],[B]]&gt;0,AVERAGE(Table3[[#This Row],[R]:[B]]),0)</f>
        <v>0</v>
      </c>
      <c r="V19" s="83">
        <f>SQRT((Table3[[#This Row],[Average Voltage ]]-Table3[[#This Row],[R]])^2)</f>
        <v>0</v>
      </c>
      <c r="W19" s="80">
        <f>SQRT((Table3[[#This Row],[Average Voltage ]]-Table3[[#This Row],[Y]])^2)</f>
        <v>0</v>
      </c>
      <c r="X19" s="80">
        <f>SQRT((Table3[[#This Row],[Average Voltage ]]-Table3[[#This Row],[B]])^2)</f>
        <v>0</v>
      </c>
      <c r="Y19" s="81">
        <f>IF(Table3[[#This Row],[Average Voltage ]]&gt;0,MAX(Table3[[#This Row],[ΔV1]:[ΔV3]])/Table3[[#This Row],[Average Voltage ]],0)</f>
        <v>0</v>
      </c>
      <c r="Z19" s="82"/>
      <c r="AA19" s="72"/>
      <c r="AB19" s="72"/>
      <c r="AC19" s="83">
        <f>IF(Table3[[#This Row],[Motor Insulation Class]]=0,0,VLOOKUP(Table3[[#This Row],[Motor Insulation Class]],Table4[],2,FALSE))</f>
        <v>0</v>
      </c>
      <c r="AD19" s="83">
        <f>IF(Table3[[#This Row],[Motor Insulation Class]]=0,0,VLOOKUP(Table3[[#This Row],[Motor Insulation Class]],Table4[],3,FALSE))</f>
        <v>0</v>
      </c>
      <c r="AE19" s="83">
        <f>IF(Table3[[#This Row],[Average Load on motor
'[%']]]&lt;1,Table3[[#This Row],[Suggested temperature (SF &lt;1)]],Table3[[#This Row],[Suggested temperature (SF &gt;1)]])</f>
        <v>0</v>
      </c>
      <c r="AF19" s="84"/>
      <c r="AG19" s="77" t="str">
        <f>IF(Table3[[#This Row],[Payback Period
'[months']]]&gt;24,"","Install VFD")</f>
        <v/>
      </c>
      <c r="AH19" s="77" t="str">
        <f>IF(Table3[[#This Row],[Voltage Imbalance
'[%']]]&gt;0.05,"Check cable sizes, loose connections or load balance","")</f>
        <v/>
      </c>
      <c r="AI19" s="77" t="str">
        <f>IF(Table3[[#This Row],[Motor Temperature
'[⁰C']]]&gt;Table3[[#This Row],[Recommended Motor Temperature
'[⁰C']]],"Check Cooling, Monitor Load and Temperature Regularly","")</f>
        <v/>
      </c>
      <c r="AJ19" s="72"/>
      <c r="AK19" s="6"/>
    </row>
    <row r="20" spans="1:61">
      <c r="A20" s="6"/>
      <c r="B20" s="88" t="str">
        <f>IF(Table3[[#This Row],[Rated Motor Power
'[kW']]]&gt;0,ROW(Table3[[#This Row],[Motor Code
'[Identity']]])-ROW(Table3[[#Headers],[Motor Code
'[Identity']]]),"")</f>
        <v/>
      </c>
      <c r="C20" s="72"/>
      <c r="D20" s="72"/>
      <c r="E20" s="76"/>
      <c r="F20" s="76"/>
      <c r="G20" s="89">
        <f>IF(Table3[[#This Row],[Measured Motor Power at Full Load
'[kW']]]=0,Table3[[#This Row],[Rated Motor Power
'[kW']]]*Table3[[#This Row],[Design Efficiency
'[%']]],Table3[[#This Row],[Measured Motor Power at Full Load
'[kW']]])</f>
        <v>0</v>
      </c>
      <c r="H20" s="72"/>
      <c r="I20" s="75"/>
      <c r="J20" s="72"/>
      <c r="K20" s="72"/>
      <c r="L20" s="76"/>
      <c r="M20" s="85" t="str">
        <f>IF(Table3[[#This Row],[VFD Installed or Not!]]="No", IF(Table3[[#This Row],[Motor Load Type
'[Variable or Constant']]]="Variable",(Table3[[#This Row],[Rated Motor Power
'[kW']]]/Table3[[#This Row],[Design Efficiency
'[%']]]*0.7*0.96*(1-Table3[[#This Row],[Average Load on motor
'[%']]])*Table3[[#This Row],[Annual Operation
'[hrs/y']]]),"N/A"),"N/A")</f>
        <v>N/A</v>
      </c>
      <c r="N20" s="78">
        <f>IF(Table3[[#This Row],[Energy Saving for Installing VFD
'[kWh/y']]]="N/A",0,Table3[[#This Row],[Energy Saving for Installing VFD
'[kWh/y']]]*$F$5)/1000000</f>
        <v>0</v>
      </c>
      <c r="O20" s="79"/>
      <c r="P20" s="86" t="str">
        <f>IF(Table3[[#This Row],[Energy Saving for Installing VFD
'[MPKR/y']]]=0,"N/A", Table3[[#This Row],[Investment for VFD
'[MPKR']]]*12/Table3[[#This Row],[Energy Saving for Installing VFD
'[MPKR/y']]])</f>
        <v>N/A</v>
      </c>
      <c r="Q20" s="87"/>
      <c r="R20" s="72"/>
      <c r="S20" s="72"/>
      <c r="T20" s="72"/>
      <c r="U20" s="90">
        <f>IF(Table3[[#This Row],[R]]*Table3[[#This Row],[Y]]*Table3[[#This Row],[B]]&gt;0,AVERAGE(Table3[[#This Row],[R]:[B]]),0)</f>
        <v>0</v>
      </c>
      <c r="V20" s="90">
        <f>SQRT((Table3[[#This Row],[Average Voltage ]]-Table3[[#This Row],[R]])^2)</f>
        <v>0</v>
      </c>
      <c r="W20" s="80">
        <f>SQRT((Table3[[#This Row],[Average Voltage ]]-Table3[[#This Row],[Y]])^2)</f>
        <v>0</v>
      </c>
      <c r="X20" s="80">
        <f>SQRT((Table3[[#This Row],[Average Voltage ]]-Table3[[#This Row],[B]])^2)</f>
        <v>0</v>
      </c>
      <c r="Y20" s="81">
        <f>IF(Table3[[#This Row],[Average Voltage ]]&gt;0,MAX(Table3[[#This Row],[ΔV1]:[ΔV3]])/Table3[[#This Row],[Average Voltage ]],0)</f>
        <v>0</v>
      </c>
      <c r="Z20" s="82"/>
      <c r="AA20" s="72"/>
      <c r="AB20" s="72"/>
      <c r="AC20" s="90">
        <f>IF(Table3[[#This Row],[Motor Insulation Class]]=0,0,VLOOKUP(Table3[[#This Row],[Motor Insulation Class]],Table4[],2,FALSE))</f>
        <v>0</v>
      </c>
      <c r="AD20" s="90">
        <f>IF(Table3[[#This Row],[Motor Insulation Class]]=0,0,VLOOKUP(Table3[[#This Row],[Motor Insulation Class]],Table4[],3,FALSE))</f>
        <v>0</v>
      </c>
      <c r="AE20" s="90">
        <f>IF(Table3[[#This Row],[Average Load on motor
'[%']]]&lt;1,Table3[[#This Row],[Suggested temperature (SF &lt;1)]],Table3[[#This Row],[Suggested temperature (SF &gt;1)]])</f>
        <v>0</v>
      </c>
      <c r="AF20" s="84"/>
      <c r="AG20" s="77" t="str">
        <f>IF(Table3[[#This Row],[Payback Period
'[months']]]&gt;24,"","Install VFD")</f>
        <v/>
      </c>
      <c r="AH20" s="77" t="str">
        <f>IF(Table3[[#This Row],[Voltage Imbalance
'[%']]]&gt;0.05,"Check cable sizes, loose connections or load balance","")</f>
        <v/>
      </c>
      <c r="AI20" s="77" t="str">
        <f>IF(Table3[[#This Row],[Motor Temperature
'[⁰C']]]&gt;Table3[[#This Row],[Recommended Motor Temperature
'[⁰C']]],"Check Cooling, Monitor Load and Temperature Regularly","")</f>
        <v/>
      </c>
      <c r="AJ20" s="72"/>
      <c r="AK20" s="6"/>
      <c r="AL20" s="6"/>
      <c r="AM20" s="6"/>
      <c r="AN20" s="6"/>
      <c r="AO20" s="6"/>
      <c r="AP20" s="6"/>
      <c r="AQ20" s="6"/>
      <c r="AR20" s="6"/>
      <c r="AS20" s="6"/>
      <c r="AT20" s="6"/>
      <c r="AU20" s="6"/>
      <c r="AV20" s="6"/>
      <c r="AW20" s="6"/>
      <c r="AX20" s="6"/>
      <c r="AY20" s="6"/>
      <c r="AZ20" s="6"/>
      <c r="BA20" s="6"/>
      <c r="BB20" s="6"/>
      <c r="BC20" s="6"/>
      <c r="BD20" s="6"/>
      <c r="BE20" s="6"/>
      <c r="BF20" s="6"/>
      <c r="BG20" s="6"/>
      <c r="BH20" s="6"/>
      <c r="BI20" s="6"/>
    </row>
    <row r="21" spans="1:61">
      <c r="A21" s="6"/>
      <c r="B21" s="71" t="str">
        <f>IF(Table3[[#This Row],[Rated Motor Power
'[kW']]]&gt;0,ROW(Table3[[#This Row],[Motor Code
'[Identity']]])-ROW(Table3[[#Headers],[Motor Code
'[Identity']]]),"")</f>
        <v/>
      </c>
      <c r="C21" s="72"/>
      <c r="D21" s="72"/>
      <c r="E21" s="76"/>
      <c r="F21" s="72"/>
      <c r="G21" s="74">
        <f>IF(Table3[[#This Row],[Measured Motor Power at Full Load
'[kW']]]=0,Table3[[#This Row],[Rated Motor Power
'[kW']]]*Table3[[#This Row],[Design Efficiency
'[%']]],Table3[[#This Row],[Measured Motor Power at Full Load
'[kW']]])</f>
        <v>0</v>
      </c>
      <c r="H21" s="72"/>
      <c r="I21" s="75"/>
      <c r="J21" s="72"/>
      <c r="K21" s="72"/>
      <c r="L21" s="76"/>
      <c r="M21" s="85" t="str">
        <f>IF(Table3[[#This Row],[VFD Installed or Not!]]="No", IF(Table3[[#This Row],[Motor Load Type
'[Variable or Constant']]]="Variable",(Table3[[#This Row],[Rated Motor Power
'[kW']]]/Table3[[#This Row],[Design Efficiency
'[%']]]*0.7*0.96*(1-Table3[[#This Row],[Average Load on motor
'[%']]])*Table3[[#This Row],[Annual Operation
'[hrs/y']]]),"N/A"),"N/A")</f>
        <v>N/A</v>
      </c>
      <c r="N21" s="78">
        <f>IF(Table3[[#This Row],[Energy Saving for Installing VFD
'[kWh/y']]]="N/A",0,Table3[[#This Row],[Energy Saving for Installing VFD
'[kWh/y']]]*$F$5)/1000000</f>
        <v>0</v>
      </c>
      <c r="O21" s="79"/>
      <c r="P21" s="86" t="str">
        <f>IF(Table3[[#This Row],[Energy Saving for Installing VFD
'[MPKR/y']]]=0,"N/A", Table3[[#This Row],[Investment for VFD
'[MPKR']]]*12/Table3[[#This Row],[Energy Saving for Installing VFD
'[MPKR/y']]])</f>
        <v>N/A</v>
      </c>
      <c r="Q21" s="87"/>
      <c r="R21" s="72"/>
      <c r="S21" s="72"/>
      <c r="T21" s="72"/>
      <c r="U21" s="83">
        <f>IF(Table3[[#This Row],[R]]*Table3[[#This Row],[Y]]*Table3[[#This Row],[B]]&gt;0,AVERAGE(Table3[[#This Row],[R]:[B]]),0)</f>
        <v>0</v>
      </c>
      <c r="V21" s="83">
        <f>SQRT((Table3[[#This Row],[Average Voltage ]]-Table3[[#This Row],[R]])^2)</f>
        <v>0</v>
      </c>
      <c r="W21" s="80">
        <f>SQRT((Table3[[#This Row],[Average Voltage ]]-Table3[[#This Row],[Y]])^2)</f>
        <v>0</v>
      </c>
      <c r="X21" s="80">
        <f>SQRT((Table3[[#This Row],[Average Voltage ]]-Table3[[#This Row],[B]])^2)</f>
        <v>0</v>
      </c>
      <c r="Y21" s="81">
        <f>IF(Table3[[#This Row],[Average Voltage ]]&gt;0,MAX(Table3[[#This Row],[ΔV1]:[ΔV3]])/Table3[[#This Row],[Average Voltage ]],0)</f>
        <v>0</v>
      </c>
      <c r="Z21" s="82"/>
      <c r="AA21" s="72"/>
      <c r="AB21" s="72"/>
      <c r="AC21" s="83">
        <f>IF(Table3[[#This Row],[Motor Insulation Class]]=0,0,VLOOKUP(Table3[[#This Row],[Motor Insulation Class]],Table4[],2,FALSE))</f>
        <v>0</v>
      </c>
      <c r="AD21" s="83">
        <f>IF(Table3[[#This Row],[Motor Insulation Class]]=0,0,VLOOKUP(Table3[[#This Row],[Motor Insulation Class]],Table4[],3,FALSE))</f>
        <v>0</v>
      </c>
      <c r="AE21" s="83">
        <f>IF(Table3[[#This Row],[Average Load on motor
'[%']]]&lt;1,Table3[[#This Row],[Suggested temperature (SF &lt;1)]],Table3[[#This Row],[Suggested temperature (SF &gt;1)]])</f>
        <v>0</v>
      </c>
      <c r="AF21" s="84"/>
      <c r="AG21" s="77" t="str">
        <f>IF(Table3[[#This Row],[Payback Period
'[months']]]&gt;24,"","Install VFD")</f>
        <v/>
      </c>
      <c r="AH21" s="77" t="str">
        <f>IF(Table3[[#This Row],[Voltage Imbalance
'[%']]]&gt;0.05,"Check cable sizes, loose connections or load balance","")</f>
        <v/>
      </c>
      <c r="AI21" s="77" t="str">
        <f>IF(Table3[[#This Row],[Motor Temperature
'[⁰C']]]&gt;Table3[[#This Row],[Recommended Motor Temperature
'[⁰C']]],"Check Cooling, Monitor Load and Temperature Regularly","")</f>
        <v/>
      </c>
      <c r="AJ21" s="72"/>
      <c r="AK21" s="6"/>
    </row>
    <row r="22" spans="1:61">
      <c r="A22" s="6"/>
      <c r="B22" s="88" t="str">
        <f>IF(Table3[[#This Row],[Rated Motor Power
'[kW']]]&gt;0,ROW(Table3[[#This Row],[Motor Code
'[Identity']]])-ROW(Table3[[#Headers],[Motor Code
'[Identity']]]),"")</f>
        <v/>
      </c>
      <c r="C22" s="72"/>
      <c r="D22" s="72"/>
      <c r="E22" s="76"/>
      <c r="F22" s="72"/>
      <c r="G22" s="74">
        <f>IF(Table3[[#This Row],[Measured Motor Power at Full Load
'[kW']]]=0,Table3[[#This Row],[Rated Motor Power
'[kW']]]*Table3[[#This Row],[Design Efficiency
'[%']]],Table3[[#This Row],[Measured Motor Power at Full Load
'[kW']]])</f>
        <v>0</v>
      </c>
      <c r="H22" s="72"/>
      <c r="I22" s="75"/>
      <c r="J22" s="72"/>
      <c r="K22" s="72"/>
      <c r="L22" s="76"/>
      <c r="M22" s="85" t="str">
        <f>IF(Table3[[#This Row],[VFD Installed or Not!]]="No", IF(Table3[[#This Row],[Motor Load Type
'[Variable or Constant']]]="Variable",(Table3[[#This Row],[Rated Motor Power
'[kW']]]/Table3[[#This Row],[Design Efficiency
'[%']]]*0.7*0.96*(1-Table3[[#This Row],[Average Load on motor
'[%']]])*Table3[[#This Row],[Annual Operation
'[hrs/y']]]),"N/A"),"N/A")</f>
        <v>N/A</v>
      </c>
      <c r="N22" s="78">
        <f>IF(Table3[[#This Row],[Energy Saving for Installing VFD
'[kWh/y']]]="N/A",0,Table3[[#This Row],[Energy Saving for Installing VFD
'[kWh/y']]]*$F$5)/1000000</f>
        <v>0</v>
      </c>
      <c r="O22" s="79"/>
      <c r="P22" s="86" t="str">
        <f>IF(Table3[[#This Row],[Energy Saving for Installing VFD
'[MPKR/y']]]=0,"N/A", Table3[[#This Row],[Investment for VFD
'[MPKR']]]*12/Table3[[#This Row],[Energy Saving for Installing VFD
'[MPKR/y']]])</f>
        <v>N/A</v>
      </c>
      <c r="Q22" s="87"/>
      <c r="R22" s="72"/>
      <c r="S22" s="72"/>
      <c r="T22" s="72"/>
      <c r="U22" s="83">
        <f>IF(Table3[[#This Row],[R]]*Table3[[#This Row],[Y]]*Table3[[#This Row],[B]]&gt;0,AVERAGE(Table3[[#This Row],[R]:[B]]),0)</f>
        <v>0</v>
      </c>
      <c r="V22" s="83">
        <f>SQRT((Table3[[#This Row],[Average Voltage ]]-Table3[[#This Row],[R]])^2)</f>
        <v>0</v>
      </c>
      <c r="W22" s="80">
        <f>SQRT((Table3[[#This Row],[Average Voltage ]]-Table3[[#This Row],[Y]])^2)</f>
        <v>0</v>
      </c>
      <c r="X22" s="80">
        <f>SQRT((Table3[[#This Row],[Average Voltage ]]-Table3[[#This Row],[B]])^2)</f>
        <v>0</v>
      </c>
      <c r="Y22" s="81">
        <f>IF(Table3[[#This Row],[Average Voltage ]]&gt;0,MAX(Table3[[#This Row],[ΔV1]:[ΔV3]])/Table3[[#This Row],[Average Voltage ]],0)</f>
        <v>0</v>
      </c>
      <c r="Z22" s="82"/>
      <c r="AA22" s="72"/>
      <c r="AB22" s="72"/>
      <c r="AC22" s="83">
        <f>IF(Table3[[#This Row],[Motor Insulation Class]]=0,0,VLOOKUP(Table3[[#This Row],[Motor Insulation Class]],Table4[],2,FALSE))</f>
        <v>0</v>
      </c>
      <c r="AD22" s="83">
        <f>IF(Table3[[#This Row],[Motor Insulation Class]]=0,0,VLOOKUP(Table3[[#This Row],[Motor Insulation Class]],Table4[],3,FALSE))</f>
        <v>0</v>
      </c>
      <c r="AE22" s="83">
        <f>IF(Table3[[#This Row],[Average Load on motor
'[%']]]&lt;1,Table3[[#This Row],[Suggested temperature (SF &lt;1)]],Table3[[#This Row],[Suggested temperature (SF &gt;1)]])</f>
        <v>0</v>
      </c>
      <c r="AF22" s="84"/>
      <c r="AG22" s="77" t="str">
        <f>IF(Table3[[#This Row],[Payback Period
'[months']]]&gt;24,"","Install VFD")</f>
        <v/>
      </c>
      <c r="AH22" s="77" t="str">
        <f>IF(Table3[[#This Row],[Voltage Imbalance
'[%']]]&gt;0.05,"Check cable sizes, loose connections or load balance","")</f>
        <v/>
      </c>
      <c r="AI22" s="77" t="str">
        <f>IF(Table3[[#This Row],[Motor Temperature
'[⁰C']]]&gt;Table3[[#This Row],[Recommended Motor Temperature
'[⁰C']]],"Check Cooling, Monitor Load and Temperature Regularly","")</f>
        <v/>
      </c>
      <c r="AJ22" s="72"/>
      <c r="AK22" s="6"/>
    </row>
    <row r="23" spans="1:61">
      <c r="A23" s="6"/>
      <c r="B23" s="88" t="str">
        <f>IF(Table3[[#This Row],[Rated Motor Power
'[kW']]]&gt;0,ROW(Table3[[#This Row],[Motor Code
'[Identity']]])-ROW(Table3[[#Headers],[Motor Code
'[Identity']]]),"")</f>
        <v/>
      </c>
      <c r="C23" s="72"/>
      <c r="D23" s="72"/>
      <c r="E23" s="76"/>
      <c r="F23" s="76"/>
      <c r="G23" s="89">
        <f>IF(Table3[[#This Row],[Measured Motor Power at Full Load
'[kW']]]=0,Table3[[#This Row],[Rated Motor Power
'[kW']]]*Table3[[#This Row],[Design Efficiency
'[%']]],Table3[[#This Row],[Measured Motor Power at Full Load
'[kW']]])</f>
        <v>0</v>
      </c>
      <c r="H23" s="72"/>
      <c r="I23" s="75"/>
      <c r="J23" s="72"/>
      <c r="K23" s="72"/>
      <c r="L23" s="76"/>
      <c r="M23" s="85" t="str">
        <f>IF(Table3[[#This Row],[VFD Installed or Not!]]="No", IF(Table3[[#This Row],[Motor Load Type
'[Variable or Constant']]]="Variable",(Table3[[#This Row],[Rated Motor Power
'[kW']]]/Table3[[#This Row],[Design Efficiency
'[%']]]*0.7*0.96*(1-Table3[[#This Row],[Average Load on motor
'[%']]])*Table3[[#This Row],[Annual Operation
'[hrs/y']]]),"N/A"),"N/A")</f>
        <v>N/A</v>
      </c>
      <c r="N23" s="78">
        <f>IF(Table3[[#This Row],[Energy Saving for Installing VFD
'[kWh/y']]]="N/A",0,Table3[[#This Row],[Energy Saving for Installing VFD
'[kWh/y']]]*$F$5)/1000000</f>
        <v>0</v>
      </c>
      <c r="O23" s="79"/>
      <c r="P23" s="86" t="str">
        <f>IF(Table3[[#This Row],[Energy Saving for Installing VFD
'[MPKR/y']]]=0,"N/A", Table3[[#This Row],[Investment for VFD
'[MPKR']]]*12/Table3[[#This Row],[Energy Saving for Installing VFD
'[MPKR/y']]])</f>
        <v>N/A</v>
      </c>
      <c r="Q23" s="87"/>
      <c r="R23" s="72"/>
      <c r="S23" s="72"/>
      <c r="T23" s="72"/>
      <c r="U23" s="90">
        <f>IF(Table3[[#This Row],[R]]*Table3[[#This Row],[Y]]*Table3[[#This Row],[B]]&gt;0,AVERAGE(Table3[[#This Row],[R]:[B]]),0)</f>
        <v>0</v>
      </c>
      <c r="V23" s="90">
        <f>SQRT((Table3[[#This Row],[Average Voltage ]]-Table3[[#This Row],[R]])^2)</f>
        <v>0</v>
      </c>
      <c r="W23" s="80">
        <f>SQRT((Table3[[#This Row],[Average Voltage ]]-Table3[[#This Row],[Y]])^2)</f>
        <v>0</v>
      </c>
      <c r="X23" s="80">
        <f>SQRT((Table3[[#This Row],[Average Voltage ]]-Table3[[#This Row],[B]])^2)</f>
        <v>0</v>
      </c>
      <c r="Y23" s="81">
        <f>IF(Table3[[#This Row],[Average Voltage ]]&gt;0,MAX(Table3[[#This Row],[ΔV1]:[ΔV3]])/Table3[[#This Row],[Average Voltage ]],0)</f>
        <v>0</v>
      </c>
      <c r="Z23" s="82"/>
      <c r="AA23" s="72"/>
      <c r="AB23" s="72"/>
      <c r="AC23" s="90">
        <f>IF(Table3[[#This Row],[Motor Insulation Class]]=0,0,VLOOKUP(Table3[[#This Row],[Motor Insulation Class]],Table4[],2,FALSE))</f>
        <v>0</v>
      </c>
      <c r="AD23" s="90">
        <f>IF(Table3[[#This Row],[Motor Insulation Class]]=0,0,VLOOKUP(Table3[[#This Row],[Motor Insulation Class]],Table4[],3,FALSE))</f>
        <v>0</v>
      </c>
      <c r="AE23" s="90">
        <f>IF(Table3[[#This Row],[Average Load on motor
'[%']]]&lt;1,Table3[[#This Row],[Suggested temperature (SF &lt;1)]],Table3[[#This Row],[Suggested temperature (SF &gt;1)]])</f>
        <v>0</v>
      </c>
      <c r="AF23" s="84"/>
      <c r="AG23" s="77" t="str">
        <f>IF(Table3[[#This Row],[Payback Period
'[months']]]&gt;24,"","Install VFD")</f>
        <v/>
      </c>
      <c r="AH23" s="77" t="str">
        <f>IF(Table3[[#This Row],[Voltage Imbalance
'[%']]]&gt;0.05,"Check cable sizes, loose connections or load balance","")</f>
        <v/>
      </c>
      <c r="AI23" s="77" t="str">
        <f>IF(Table3[[#This Row],[Motor Temperature
'[⁰C']]]&gt;Table3[[#This Row],[Recommended Motor Temperature
'[⁰C']]],"Check Cooling, Monitor Load and Temperature Regularly","")</f>
        <v/>
      </c>
      <c r="AJ23" s="72"/>
      <c r="AK23" s="6"/>
    </row>
    <row r="24" spans="1:61">
      <c r="A24" s="6"/>
      <c r="B24" s="88" t="str">
        <f>IF(Table3[[#This Row],[Rated Motor Power
'[kW']]]&gt;0,ROW(Table3[[#This Row],[Motor Code
'[Identity']]])-ROW(Table3[[#Headers],[Motor Code
'[Identity']]]),"")</f>
        <v/>
      </c>
      <c r="C24" s="72"/>
      <c r="D24" s="72"/>
      <c r="E24" s="76"/>
      <c r="F24" s="76"/>
      <c r="G24" s="89">
        <f>IF(Table3[[#This Row],[Measured Motor Power at Full Load
'[kW']]]=0,Table3[[#This Row],[Rated Motor Power
'[kW']]]*Table3[[#This Row],[Design Efficiency
'[%']]],Table3[[#This Row],[Measured Motor Power at Full Load
'[kW']]])</f>
        <v>0</v>
      </c>
      <c r="H24" s="72"/>
      <c r="I24" s="75"/>
      <c r="J24" s="72"/>
      <c r="K24" s="72"/>
      <c r="L24" s="76"/>
      <c r="M24" s="91" t="str">
        <f>IF(Table3[[#This Row],[VFD Installed or Not!]]="No", IF(Table3[[#This Row],[Motor Load Type
'[Variable or Constant']]]="Variable",(Table3[[#This Row],[Rated Motor Power
'[kW']]]/Table3[[#This Row],[Design Efficiency
'[%']]]*0.7*0.96*(1-Table3[[#This Row],[Average Load on motor
'[%']]])*Table3[[#This Row],[Annual Operation
'[hrs/y']]]),"N/A"),"N/A")</f>
        <v>N/A</v>
      </c>
      <c r="N24" s="92">
        <f>IF(Table3[[#This Row],[Energy Saving for Installing VFD
'[kWh/y']]]="N/A",0,Table3[[#This Row],[Energy Saving for Installing VFD
'[kWh/y']]]*$F$5)/1000000</f>
        <v>0</v>
      </c>
      <c r="O24" s="79"/>
      <c r="P24" s="93" t="str">
        <f>IF(Table3[[#This Row],[Energy Saving for Installing VFD
'[MPKR/y']]]=0,"N/A", Table3[[#This Row],[Investment for VFD
'[MPKR']]]*12/Table3[[#This Row],[Energy Saving for Installing VFD
'[MPKR/y']]])</f>
        <v>N/A</v>
      </c>
      <c r="Q24" s="87"/>
      <c r="R24" s="72"/>
      <c r="S24" s="72"/>
      <c r="T24" s="72"/>
      <c r="U24" s="90">
        <f>IF(Table3[[#This Row],[R]]*Table3[[#This Row],[Y]]*Table3[[#This Row],[B]]&gt;0,AVERAGE(Table3[[#This Row],[R]:[B]]),0)</f>
        <v>0</v>
      </c>
      <c r="V24" s="90">
        <f>SQRT((Table3[[#This Row],[Average Voltage ]]-Table3[[#This Row],[R]])^2)</f>
        <v>0</v>
      </c>
      <c r="W24" s="80">
        <f>SQRT((Table3[[#This Row],[Average Voltage ]]-Table3[[#This Row],[Y]])^2)</f>
        <v>0</v>
      </c>
      <c r="X24" s="80">
        <f>SQRT((Table3[[#This Row],[Average Voltage ]]-Table3[[#This Row],[B]])^2)</f>
        <v>0</v>
      </c>
      <c r="Y24" s="81">
        <f>IF(Table3[[#This Row],[Average Voltage ]]&gt;0,MAX(Table3[[#This Row],[ΔV1]:[ΔV3]])/Table3[[#This Row],[Average Voltage ]],0)</f>
        <v>0</v>
      </c>
      <c r="Z24" s="82"/>
      <c r="AA24" s="72"/>
      <c r="AB24" s="72"/>
      <c r="AC24" s="90">
        <f>IF(Table3[[#This Row],[Motor Insulation Class]]=0,0,VLOOKUP(Table3[[#This Row],[Motor Insulation Class]],Table4[],2,FALSE))</f>
        <v>0</v>
      </c>
      <c r="AD24" s="90">
        <f>IF(Table3[[#This Row],[Motor Insulation Class]]=0,0,VLOOKUP(Table3[[#This Row],[Motor Insulation Class]],Table4[],3,FALSE))</f>
        <v>0</v>
      </c>
      <c r="AE24" s="90">
        <f>IF(Table3[[#This Row],[Average Load on motor
'[%']]]&lt;1,Table3[[#This Row],[Suggested temperature (SF &lt;1)]],Table3[[#This Row],[Suggested temperature (SF &gt;1)]])</f>
        <v>0</v>
      </c>
      <c r="AF24" s="84"/>
      <c r="AG24" s="77" t="str">
        <f>IF(Table3[[#This Row],[Payback Period
'[months']]]&gt;24,"","Install VFD")</f>
        <v/>
      </c>
      <c r="AH24" s="77" t="str">
        <f>IF(Table3[[#This Row],[Voltage Imbalance
'[%']]]&gt;0.05,"Check cable sizes, loose connections or load balance","")</f>
        <v/>
      </c>
      <c r="AI24" s="77" t="str">
        <f>IF(Table3[[#This Row],[Motor Temperature
'[⁰C']]]&gt;Table3[[#This Row],[Recommended Motor Temperature
'[⁰C']]],"Check Cooling, Monitor Load and Temperature Regularly","")</f>
        <v/>
      </c>
      <c r="AJ24" s="72"/>
    </row>
    <row r="25" spans="1:61" s="1" customFormat="1">
      <c r="A25" s="6"/>
      <c r="B25" s="88">
        <f>SUBTOTAL(102,Table3['#])</f>
        <v>0</v>
      </c>
      <c r="C25" s="74"/>
      <c r="D25" s="74">
        <f>SUBTOTAL(109,Table3[Rated Motor Power
'[kW']])</f>
        <v>0</v>
      </c>
      <c r="E25" s="94"/>
      <c r="F25" s="95">
        <f>SUBTOTAL(109,Table3[Measured Motor Power at Full Load
'[kW']])</f>
        <v>0</v>
      </c>
      <c r="G25" s="74">
        <f>SUBTOTAL(109,Table3[Motor Shaft Power
'[kw']])</f>
        <v>0</v>
      </c>
      <c r="H25" s="74" t="e">
        <f>SUBTOTAL(101,Table3[Annual Operation
'[hrs/y']])</f>
        <v>#DIV/0!</v>
      </c>
      <c r="I25" s="75"/>
      <c r="J25" s="74"/>
      <c r="K25" s="74"/>
      <c r="L25" s="96" t="e">
        <f>SUBTOTAL(101,Table3[Average Load on motor
'[%']])</f>
        <v>#DIV/0!</v>
      </c>
      <c r="M25" s="97">
        <f>SUBTOTAL(109,Table3[Energy Saving for Installing VFD
'[kWh/y']])</f>
        <v>0</v>
      </c>
      <c r="N25" s="97">
        <f>SUBTOTAL(109,Table3[Energy Saving for Installing VFD
'[MPKR/y']])</f>
        <v>0</v>
      </c>
      <c r="O25" s="98">
        <f>SUBTOTAL(109,Table3[Investment for VFD
'[MPKR']])</f>
        <v>0</v>
      </c>
      <c r="P25" s="97" t="str">
        <f>IF(Table3[[#Totals],[Energy Saving for Installing VFD
'[MPKR/y']]]=0,"N/A",Table3[[#Totals],[Investment for VFD
'[MPKR']]]*12/Table3[[#Totals],[Energy Saving for Installing VFD
'[MPKR/y']]])</f>
        <v>N/A</v>
      </c>
      <c r="Q25" s="99"/>
      <c r="R25" s="74"/>
      <c r="S25" s="74"/>
      <c r="T25" s="74"/>
      <c r="U25" s="83"/>
      <c r="V25" s="83"/>
      <c r="W25" s="83"/>
      <c r="X25" s="83"/>
      <c r="Y25" s="100"/>
      <c r="Z25" s="75"/>
      <c r="AA25" s="74"/>
      <c r="AB25" s="74"/>
      <c r="AC25" s="83"/>
      <c r="AD25" s="83"/>
      <c r="AE25" s="83"/>
      <c r="AF25" s="101"/>
      <c r="AG25" s="74"/>
      <c r="AH25" s="74"/>
      <c r="AI25" s="74"/>
      <c r="AJ25" s="74"/>
    </row>
    <row r="26" spans="1:61" s="1" customFormat="1">
      <c r="A26" s="6"/>
      <c r="B26" s="6"/>
      <c r="C26" s="6"/>
      <c r="D26" s="6"/>
      <c r="E26" s="6"/>
      <c r="F26" s="6"/>
      <c r="G26" s="6"/>
      <c r="H26" s="6"/>
      <c r="I26" s="25"/>
      <c r="J26" s="6"/>
      <c r="K26" s="6"/>
      <c r="L26" s="6"/>
      <c r="M26" s="6"/>
      <c r="N26" s="6"/>
      <c r="O26" s="6"/>
      <c r="P26" s="6"/>
      <c r="Q26" s="6"/>
      <c r="R26" s="6"/>
      <c r="S26" s="25"/>
      <c r="T26" s="25"/>
      <c r="U26" s="25"/>
      <c r="V26" s="25"/>
      <c r="W26" s="25"/>
      <c r="X26" s="6"/>
      <c r="Y26" s="6"/>
      <c r="Z26" s="6"/>
      <c r="AA26" s="25"/>
      <c r="AB26" s="25"/>
      <c r="AC26" s="25"/>
      <c r="AD26" s="25"/>
      <c r="AE26" s="6"/>
      <c r="AF26" s="6"/>
      <c r="AG26" s="6"/>
      <c r="AH26" s="6"/>
      <c r="AI26" s="6"/>
    </row>
    <row r="27" spans="1:61" s="1" customFormat="1">
      <c r="A27" s="6"/>
      <c r="B27" s="6"/>
      <c r="C27" s="6"/>
      <c r="D27" s="6"/>
      <c r="E27" s="6"/>
      <c r="F27" s="6"/>
      <c r="G27" s="6"/>
      <c r="H27" s="6"/>
      <c r="I27" s="25"/>
      <c r="J27" s="6"/>
      <c r="K27" s="6"/>
      <c r="L27" s="6"/>
      <c r="M27" s="6"/>
      <c r="N27" s="6"/>
      <c r="O27" s="6"/>
      <c r="P27" s="6"/>
      <c r="Q27" s="6"/>
      <c r="R27" s="6"/>
      <c r="S27" s="25"/>
      <c r="T27" s="25"/>
      <c r="U27" s="25"/>
      <c r="V27" s="25"/>
      <c r="W27" s="25"/>
      <c r="X27" s="6"/>
      <c r="Y27" s="6"/>
      <c r="Z27" s="6"/>
      <c r="AA27" s="25"/>
      <c r="AB27" s="25"/>
      <c r="AC27" s="25"/>
      <c r="AD27" s="25"/>
      <c r="AE27" s="6"/>
      <c r="AF27" s="6"/>
      <c r="AG27" s="6"/>
      <c r="AH27" s="6"/>
      <c r="AI27" s="6"/>
    </row>
    <row r="28" spans="1:61" s="1" customFormat="1" hidden="1">
      <c r="A28" s="6"/>
      <c r="B28" s="6"/>
      <c r="C28" s="6"/>
      <c r="D28" s="6"/>
      <c r="E28" s="6"/>
      <c r="F28" s="6"/>
      <c r="G28" s="6"/>
      <c r="H28" s="6"/>
      <c r="I28" s="25"/>
      <c r="J28" s="6"/>
      <c r="K28" s="6"/>
      <c r="L28" s="6"/>
      <c r="M28" s="6"/>
      <c r="N28" s="6"/>
      <c r="O28" s="6"/>
      <c r="P28" s="6"/>
      <c r="Q28" s="6"/>
      <c r="R28" s="25"/>
      <c r="S28" s="25"/>
      <c r="T28" s="25"/>
      <c r="U28" s="6"/>
      <c r="V28" s="6"/>
      <c r="W28" s="25"/>
      <c r="X28" s="25"/>
      <c r="Y28" s="25"/>
      <c r="Z28" s="25"/>
      <c r="AA28" s="25"/>
      <c r="AB28" s="6"/>
      <c r="AC28" s="6"/>
      <c r="AD28" s="6"/>
      <c r="AE28" s="6"/>
      <c r="AF28" s="6"/>
      <c r="AG28" s="6"/>
      <c r="AH28" s="6"/>
    </row>
    <row r="29" spans="1:61" s="1" customFormat="1" hidden="1">
      <c r="A29" s="6"/>
      <c r="B29" s="6"/>
      <c r="C29" s="6"/>
      <c r="D29" s="6"/>
      <c r="E29" s="6"/>
      <c r="F29" s="6"/>
      <c r="G29" s="6"/>
      <c r="H29" s="6"/>
      <c r="I29" s="25"/>
      <c r="J29" s="6"/>
      <c r="K29" s="6"/>
      <c r="L29" s="6"/>
      <c r="M29" s="6"/>
      <c r="N29" s="6"/>
      <c r="O29" s="6"/>
      <c r="P29" s="6"/>
      <c r="Q29" s="6"/>
      <c r="R29" s="25"/>
      <c r="S29" s="25"/>
      <c r="T29" s="25"/>
      <c r="U29" s="6"/>
      <c r="V29" s="6"/>
      <c r="W29" s="25"/>
      <c r="X29" s="25"/>
      <c r="Y29" s="25"/>
      <c r="Z29" s="25"/>
      <c r="AA29" s="25"/>
      <c r="AB29" s="6"/>
      <c r="AC29" s="6"/>
      <c r="AD29" s="6"/>
      <c r="AE29" s="6"/>
      <c r="AF29" s="6"/>
      <c r="AG29" s="6"/>
      <c r="AH29" s="6"/>
    </row>
    <row r="30" spans="1:61" s="6" customFormat="1" hidden="1">
      <c r="I30" s="25"/>
      <c r="R30" s="25"/>
      <c r="S30" s="25"/>
      <c r="T30" s="25"/>
      <c r="W30" s="25"/>
      <c r="X30" s="25"/>
      <c r="Y30" s="25"/>
      <c r="Z30" s="25"/>
      <c r="AA30" s="25"/>
    </row>
    <row r="31" spans="1:61" s="6" customFormat="1" hidden="1">
      <c r="I31" s="25"/>
      <c r="S31" s="25"/>
      <c r="T31" s="25"/>
      <c r="U31" s="25"/>
      <c r="V31" s="25"/>
      <c r="W31" s="25"/>
      <c r="AA31" s="25"/>
      <c r="AB31" s="25"/>
      <c r="AC31" s="25"/>
      <c r="AD31" s="25"/>
    </row>
    <row r="32" spans="1:61" s="6" customFormat="1" hidden="1">
      <c r="I32" s="25"/>
      <c r="S32" s="25"/>
      <c r="T32" s="25"/>
      <c r="U32" s="25"/>
      <c r="V32" s="25"/>
      <c r="W32" s="25"/>
      <c r="AA32" s="25"/>
      <c r="AB32" s="25"/>
      <c r="AC32" s="25"/>
      <c r="AD32" s="25"/>
    </row>
    <row r="33" spans="9:30" s="6" customFormat="1" hidden="1">
      <c r="I33" s="25"/>
      <c r="S33" s="25"/>
      <c r="T33" s="25"/>
      <c r="U33" s="25"/>
      <c r="V33" s="25"/>
      <c r="W33" s="25"/>
      <c r="AA33" s="25"/>
      <c r="AB33" s="25"/>
      <c r="AC33" s="25"/>
      <c r="AD33" s="25"/>
    </row>
    <row r="34" spans="9:30" s="6" customFormat="1" hidden="1">
      <c r="I34" s="25"/>
      <c r="S34" s="25"/>
      <c r="T34" s="25"/>
      <c r="U34" s="25"/>
      <c r="V34" s="25"/>
      <c r="W34" s="25"/>
      <c r="AA34" s="25"/>
      <c r="AB34" s="25"/>
      <c r="AC34" s="25"/>
      <c r="AD34" s="25"/>
    </row>
    <row r="35" spans="9:30" s="6" customFormat="1" hidden="1">
      <c r="I35" s="25"/>
      <c r="S35" s="25"/>
      <c r="T35" s="25"/>
      <c r="U35" s="25"/>
      <c r="V35" s="25"/>
      <c r="W35" s="25"/>
      <c r="AA35" s="25"/>
      <c r="AB35" s="25"/>
      <c r="AC35" s="25"/>
      <c r="AD35" s="25"/>
    </row>
    <row r="36" spans="9:30" s="6" customFormat="1" hidden="1">
      <c r="I36" s="25"/>
      <c r="S36" s="25"/>
      <c r="T36" s="25"/>
      <c r="U36" s="25"/>
      <c r="V36" s="25"/>
      <c r="W36" s="25"/>
      <c r="AA36" s="25"/>
      <c r="AB36" s="25"/>
      <c r="AC36" s="25"/>
      <c r="AD36" s="25"/>
    </row>
    <row r="37" spans="9:30" s="6" customFormat="1" hidden="1">
      <c r="I37" s="25"/>
      <c r="S37" s="25"/>
      <c r="T37" s="25"/>
      <c r="U37" s="25"/>
      <c r="V37" s="25"/>
      <c r="W37" s="25"/>
      <c r="AA37" s="25"/>
      <c r="AB37" s="25"/>
      <c r="AC37" s="25"/>
      <c r="AD37" s="25"/>
    </row>
    <row r="38" spans="9:30" s="6" customFormat="1" hidden="1">
      <c r="I38" s="25"/>
      <c r="S38" s="25"/>
      <c r="T38" s="25"/>
      <c r="U38" s="25"/>
      <c r="V38" s="25"/>
      <c r="W38" s="25"/>
      <c r="AA38" s="25"/>
      <c r="AB38" s="25"/>
      <c r="AC38" s="25"/>
      <c r="AD38" s="25"/>
    </row>
    <row r="39" spans="9:30" s="6" customFormat="1" hidden="1">
      <c r="I39" s="25"/>
      <c r="S39" s="25"/>
      <c r="T39" s="25"/>
      <c r="U39" s="25"/>
      <c r="V39" s="25"/>
      <c r="W39" s="25"/>
      <c r="AA39" s="25"/>
      <c r="AB39" s="25"/>
      <c r="AC39" s="25"/>
      <c r="AD39" s="25"/>
    </row>
    <row r="40" spans="9:30" s="6" customFormat="1" hidden="1">
      <c r="I40" s="25"/>
      <c r="S40" s="25"/>
      <c r="T40" s="25"/>
      <c r="U40" s="25"/>
      <c r="V40" s="25"/>
      <c r="W40" s="25"/>
      <c r="AA40" s="25"/>
      <c r="AB40" s="25"/>
      <c r="AC40" s="25"/>
      <c r="AD40" s="25"/>
    </row>
    <row r="41" spans="9:30" s="6" customFormat="1" hidden="1">
      <c r="I41" s="25"/>
      <c r="S41" s="25"/>
      <c r="T41" s="25"/>
      <c r="U41" s="25"/>
      <c r="V41" s="25"/>
      <c r="W41" s="25"/>
      <c r="AA41" s="25"/>
      <c r="AB41" s="25"/>
      <c r="AC41" s="25"/>
      <c r="AD41" s="25"/>
    </row>
    <row r="42" spans="9:30" s="6" customFormat="1" hidden="1">
      <c r="I42" s="25"/>
      <c r="S42" s="25"/>
      <c r="T42" s="25"/>
      <c r="U42" s="25"/>
      <c r="V42" s="25"/>
      <c r="W42" s="25"/>
      <c r="AA42" s="25"/>
      <c r="AB42" s="25"/>
      <c r="AC42" s="25"/>
      <c r="AD42" s="25"/>
    </row>
    <row r="43" spans="9:30" s="6" customFormat="1" hidden="1">
      <c r="I43" s="25"/>
      <c r="S43" s="25"/>
      <c r="T43" s="25"/>
      <c r="U43" s="25"/>
      <c r="V43" s="25"/>
      <c r="W43" s="25"/>
      <c r="AA43" s="25"/>
      <c r="AB43" s="25"/>
      <c r="AC43" s="25"/>
      <c r="AD43" s="25"/>
    </row>
    <row r="44" spans="9:30" s="6" customFormat="1" hidden="1">
      <c r="I44" s="25"/>
      <c r="S44" s="25"/>
      <c r="T44" s="25"/>
      <c r="U44" s="25"/>
      <c r="V44" s="25"/>
      <c r="W44" s="25"/>
      <c r="AA44" s="25"/>
      <c r="AB44" s="25"/>
      <c r="AC44" s="25"/>
      <c r="AD44" s="25"/>
    </row>
    <row r="45" spans="9:30" hidden="1"/>
    <row r="46" spans="9:30" hidden="1"/>
  </sheetData>
  <sheetProtection pivotTables="0"/>
  <mergeCells count="7">
    <mergeCell ref="AG7:AI7"/>
    <mergeCell ref="D5:E5"/>
    <mergeCell ref="D2:E3"/>
    <mergeCell ref="D7:H7"/>
    <mergeCell ref="J7:P7"/>
    <mergeCell ref="R7:Y7"/>
    <mergeCell ref="AA7:AE7"/>
  </mergeCells>
  <conditionalFormatting sqref="AA9:AA25">
    <cfRule type="expression" dxfId="148" priority="4">
      <formula>$AA9&gt;$AE9</formula>
    </cfRule>
  </conditionalFormatting>
  <conditionalFormatting sqref="Y9:Y25">
    <cfRule type="expression" dxfId="147" priority="2">
      <formula>$Y9&gt;0.05</formula>
    </cfRule>
  </conditionalFormatting>
  <conditionalFormatting sqref="Y9:Y24">
    <cfRule type="expression" dxfId="146" priority="1">
      <formula>$Y9=""</formula>
    </cfRule>
  </conditionalFormatting>
  <pageMargins left="0.25" right="0.25" top="0.75" bottom="0" header="0.3" footer="0.05"/>
  <pageSetup paperSize="9" scale="42" fitToHeight="0" orientation="landscape" verticalDpi="0"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Select from Dropdown">
          <x14:formula1>
            <xm:f>'Drop Down'!$H$7:$H$9</xm:f>
          </x14:formula1>
          <xm:sqref>K9</xm:sqref>
        </x14:dataValidation>
        <x14:dataValidation type="list" allowBlank="1" showInputMessage="1" showErrorMessage="1" prompt="Select from Dropdown">
          <x14:formula1>
            <xm:f>'Drop Down'!$J$7:$J$9</xm:f>
          </x14:formula1>
          <xm:sqref>J9:J24</xm:sqref>
        </x14:dataValidation>
        <x14:dataValidation type="list" allowBlank="1" showInputMessage="1" showErrorMessage="1" promptTitle="Select from Dropdown">
          <x14:formula1>
            <xm:f>'Drop Down'!$C$7:$C$11</xm:f>
          </x14:formula1>
          <xm:sqref>AB9</xm:sqref>
        </x14:dataValidation>
        <x14:dataValidation type="list" allowBlank="1" showInputMessage="1" showErrorMessage="1" prompt="Select from Dropdown">
          <x14:formula1>
            <xm:f>'Drop Down'!$H$7:$H$9</xm:f>
          </x14:formula1>
          <xm:sqref>K10:K24</xm:sqref>
        </x14:dataValidation>
        <x14:dataValidation type="list" allowBlank="1" showInputMessage="1" showErrorMessage="1" prompt="Select from Dropdown">
          <x14:formula1>
            <xm:f>'Drop Down'!$C$7:$C$11</xm:f>
          </x14:formula1>
          <xm:sqref>AB10:AB24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P21"/>
  <sheetViews>
    <sheetView workbookViewId="0">
      <selection activeCell="H15" sqref="H15"/>
    </sheetView>
  </sheetViews>
  <sheetFormatPr defaultColWidth="0" defaultRowHeight="15" zeroHeight="1"/>
  <cols>
    <col min="1" max="1" width="3.85546875" customWidth="1"/>
    <col min="2" max="2" width="10.85546875" customWidth="1"/>
    <col min="3" max="3" width="21" style="1" customWidth="1"/>
    <col min="4" max="7" width="9.140625" customWidth="1"/>
    <col min="8" max="8" width="12.85546875" customWidth="1"/>
    <col min="9" max="9" width="9.140625" customWidth="1"/>
    <col min="10" max="10" width="13.42578125" bestFit="1" customWidth="1"/>
    <col min="11" max="15" width="9.140625" customWidth="1"/>
    <col min="16" max="16" width="0" hidden="1" customWidth="1"/>
    <col min="17" max="16384" width="9.140625" hidden="1"/>
  </cols>
  <sheetData>
    <row r="1" spans="1:15" s="6" customFormat="1"/>
    <row r="2" spans="1:15" s="6" customFormat="1"/>
    <row r="3" spans="1:15" s="6" customFormat="1"/>
    <row r="4" spans="1:15">
      <c r="A4" s="7"/>
      <c r="B4" s="6"/>
      <c r="C4" s="6"/>
      <c r="D4" s="6"/>
      <c r="E4" s="6"/>
      <c r="F4" s="6"/>
      <c r="G4" s="6"/>
      <c r="H4" s="6"/>
      <c r="I4" s="6"/>
      <c r="J4" s="6"/>
      <c r="K4" s="6"/>
      <c r="L4" s="6"/>
      <c r="M4" s="6"/>
      <c r="N4" s="6"/>
      <c r="O4" s="6"/>
    </row>
    <row r="5" spans="1:15">
      <c r="A5" s="7"/>
      <c r="B5" s="6"/>
      <c r="C5" s="63" t="s">
        <v>25</v>
      </c>
      <c r="D5" s="64"/>
      <c r="E5" s="6"/>
      <c r="F5" s="6"/>
      <c r="G5" s="6"/>
      <c r="H5" s="21" t="s">
        <v>33</v>
      </c>
      <c r="I5" s="22"/>
      <c r="J5" s="21" t="s">
        <v>45</v>
      </c>
      <c r="K5" s="6"/>
      <c r="L5" s="6"/>
      <c r="M5" s="6"/>
      <c r="N5" s="6"/>
      <c r="O5" s="6"/>
    </row>
    <row r="6" spans="1:15" ht="15.75" thickBot="1">
      <c r="A6" s="6"/>
      <c r="B6" s="6"/>
      <c r="C6" s="3" t="s">
        <v>24</v>
      </c>
      <c r="D6" s="14" t="s">
        <v>26</v>
      </c>
      <c r="E6" s="14" t="s">
        <v>27</v>
      </c>
      <c r="F6" s="6"/>
      <c r="H6" s="19" t="s">
        <v>34</v>
      </c>
      <c r="J6" s="19"/>
    </row>
    <row r="7" spans="1:15" ht="16.5" thickTop="1" thickBot="1">
      <c r="A7" s="6"/>
      <c r="B7" s="6"/>
      <c r="C7" s="13" t="s">
        <v>20</v>
      </c>
      <c r="D7" s="15">
        <v>60</v>
      </c>
      <c r="E7" s="16">
        <v>70</v>
      </c>
      <c r="F7" s="6"/>
      <c r="H7" s="20" t="s">
        <v>35</v>
      </c>
      <c r="J7" s="19" t="s">
        <v>53</v>
      </c>
    </row>
    <row r="8" spans="1:15" ht="16.5" thickTop="1" thickBot="1">
      <c r="A8" s="6"/>
      <c r="B8" s="6"/>
      <c r="C8" s="4" t="s">
        <v>21</v>
      </c>
      <c r="D8" s="17">
        <v>80</v>
      </c>
      <c r="E8" s="17">
        <v>90</v>
      </c>
      <c r="F8" s="6"/>
      <c r="H8" s="19" t="s">
        <v>36</v>
      </c>
      <c r="J8" s="19" t="s">
        <v>54</v>
      </c>
    </row>
    <row r="9" spans="1:15" ht="16.5" thickTop="1" thickBot="1">
      <c r="A9" s="6"/>
      <c r="B9" s="6"/>
      <c r="C9" s="4" t="s">
        <v>22</v>
      </c>
      <c r="D9" s="17">
        <v>102</v>
      </c>
      <c r="E9" s="17">
        <v>115</v>
      </c>
      <c r="F9" s="6"/>
      <c r="H9" s="19" t="s">
        <v>1</v>
      </c>
      <c r="J9" s="19" t="s">
        <v>1</v>
      </c>
    </row>
    <row r="10" spans="1:15" ht="16.5" thickTop="1" thickBot="1">
      <c r="A10" s="6"/>
      <c r="B10" s="6"/>
      <c r="C10" s="4" t="s">
        <v>23</v>
      </c>
      <c r="D10" s="17">
        <v>125</v>
      </c>
      <c r="E10" s="17">
        <v>135</v>
      </c>
      <c r="F10" s="6"/>
      <c r="J10" s="19"/>
    </row>
    <row r="11" spans="1:15" ht="16.5" thickTop="1" thickBot="1">
      <c r="A11" s="6"/>
      <c r="B11" s="6"/>
      <c r="C11" s="4" t="s">
        <v>1</v>
      </c>
      <c r="D11" s="17"/>
      <c r="E11" s="17"/>
      <c r="F11" s="6"/>
    </row>
    <row r="12" spans="1:15" ht="15.75" thickTop="1">
      <c r="A12" s="6"/>
      <c r="B12" s="6"/>
      <c r="C12" s="6"/>
      <c r="D12" s="6"/>
      <c r="E12" s="6"/>
      <c r="F12" s="6"/>
      <c r="G12" s="6"/>
      <c r="H12" s="6"/>
      <c r="I12" s="6"/>
      <c r="J12" s="6"/>
      <c r="K12" s="6"/>
      <c r="L12" s="6"/>
      <c r="M12" s="6"/>
      <c r="N12" s="6"/>
      <c r="O12" s="6"/>
    </row>
    <row r="13" spans="1:15"/>
    <row r="14" spans="1:15"/>
    <row r="15" spans="1:15"/>
    <row r="16" spans="1:15"/>
    <row r="17"/>
    <row r="18"/>
    <row r="19"/>
    <row r="20"/>
    <row r="21"/>
  </sheetData>
  <sheetProtection password="C5AA" sheet="1" objects="1" scenarios="1" selectLockedCells="1" selectUnlockedCells="1"/>
  <mergeCells count="1">
    <mergeCell ref="C5:D5"/>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22"/>
  <sheetViews>
    <sheetView showRowColHeaders="0" workbookViewId="0">
      <selection activeCell="E20" sqref="E20"/>
    </sheetView>
  </sheetViews>
  <sheetFormatPr defaultColWidth="0" defaultRowHeight="15" zeroHeight="1"/>
  <cols>
    <col min="1" max="1" width="2" style="6" customWidth="1"/>
    <col min="2" max="2" width="32.28515625" style="6" bestFit="1" customWidth="1"/>
    <col min="3" max="3" width="12" style="6" bestFit="1" customWidth="1"/>
    <col min="4" max="5" width="9.140625" style="6" customWidth="1"/>
    <col min="6" max="6" width="34.5703125" style="6" bestFit="1" customWidth="1"/>
    <col min="7" max="7" width="12" style="6" bestFit="1" customWidth="1"/>
    <col min="8" max="9" width="9.140625" style="6" customWidth="1"/>
    <col min="10" max="16384" width="9.140625" style="6" hidden="1"/>
  </cols>
  <sheetData>
    <row r="1" spans="1:8" ht="15.75" customHeight="1"/>
    <row r="2" spans="1:8" ht="15.75" customHeight="1">
      <c r="A2" s="7"/>
      <c r="C2" s="67" t="s">
        <v>88</v>
      </c>
      <c r="D2" s="67"/>
      <c r="E2" s="67"/>
      <c r="F2" s="67"/>
      <c r="H2" s="7"/>
    </row>
    <row r="3" spans="1:8" ht="15.75" customHeight="1">
      <c r="A3" s="7"/>
      <c r="C3" s="67"/>
      <c r="D3" s="67"/>
      <c r="E3" s="67"/>
      <c r="F3" s="67"/>
      <c r="H3" s="7"/>
    </row>
    <row r="4" spans="1:8" ht="15.75" customHeight="1">
      <c r="A4" s="7"/>
      <c r="B4" s="8"/>
      <c r="C4" s="30"/>
      <c r="D4" s="7"/>
      <c r="F4" s="8"/>
      <c r="G4" s="30"/>
      <c r="H4" s="7"/>
    </row>
    <row r="5" spans="1:8"/>
    <row r="6" spans="1:8">
      <c r="B6" s="65" t="s">
        <v>83</v>
      </c>
      <c r="C6" s="66"/>
      <c r="D6" s="66"/>
      <c r="F6" s="65" t="s">
        <v>74</v>
      </c>
      <c r="G6" s="66"/>
      <c r="H6" s="66"/>
    </row>
    <row r="7" spans="1:8" ht="3.75" customHeight="1">
      <c r="B7" s="45"/>
      <c r="F7" s="45"/>
    </row>
    <row r="8" spans="1:8" ht="17.25" customHeight="1">
      <c r="B8" s="42" t="s">
        <v>69</v>
      </c>
      <c r="C8" s="39">
        <f>Table3[[#Totals],['#]]</f>
        <v>0</v>
      </c>
      <c r="D8" s="39"/>
      <c r="F8" s="42" t="s">
        <v>70</v>
      </c>
      <c r="G8" s="39">
        <f>COUNTIF(Table3[VFD Installed or Not!],"No")</f>
        <v>0</v>
      </c>
      <c r="H8" s="39"/>
    </row>
    <row r="9" spans="1:8" ht="17.25" customHeight="1">
      <c r="B9" s="42" t="s">
        <v>78</v>
      </c>
      <c r="C9" s="39">
        <f>Table3[[#Totals],[Rated Motor Power
'[kW']]]</f>
        <v>0</v>
      </c>
      <c r="D9" s="39" t="s">
        <v>81</v>
      </c>
      <c r="F9" s="42" t="s">
        <v>71</v>
      </c>
      <c r="G9" s="39">
        <f>COUNTIF(Table3[[#Data],[#Totals],[1]],"Install VFD")</f>
        <v>0</v>
      </c>
      <c r="H9" s="39"/>
    </row>
    <row r="10" spans="1:8" ht="17.25" customHeight="1">
      <c r="B10" s="42" t="s">
        <v>79</v>
      </c>
      <c r="C10" s="39" t="e">
        <f>Table3[[#Totals],[Annual Operation
'[hrs/y']]]</f>
        <v>#DIV/0!</v>
      </c>
      <c r="D10" s="39" t="s">
        <v>80</v>
      </c>
      <c r="F10" s="42" t="s">
        <v>72</v>
      </c>
      <c r="G10" s="40">
        <f>SUMIF(Table3[1],"Install VFD",Table3[Energy Saving for Installing VFD
'[kWh/y']])</f>
        <v>0</v>
      </c>
      <c r="H10" s="39" t="s">
        <v>6</v>
      </c>
    </row>
    <row r="11" spans="1:8" ht="17.25" customHeight="1">
      <c r="B11" s="42" t="s">
        <v>82</v>
      </c>
      <c r="C11" s="39" t="e">
        <f>Table3[[#Totals],[Motor Shaft Power
'[kw']]]*Table3[[#Totals],[Annual Operation
'[hrs/y']]]*Table3[[#Totals],[Average Load on motor
'[%']]]</f>
        <v>#DIV/0!</v>
      </c>
      <c r="D11" s="39" t="s">
        <v>6</v>
      </c>
      <c r="F11" s="42" t="s">
        <v>72</v>
      </c>
      <c r="G11" s="41">
        <f>$G$10*'Data Input'!$F$5/1000000</f>
        <v>0</v>
      </c>
      <c r="H11" s="39" t="s">
        <v>7</v>
      </c>
    </row>
    <row r="12" spans="1:8" ht="17.25" customHeight="1">
      <c r="B12" s="42" t="s">
        <v>82</v>
      </c>
      <c r="C12" s="39" t="e">
        <f>C11*'Data Input'!$F$5/1000000</f>
        <v>#DIV/0!</v>
      </c>
      <c r="D12" s="39" t="s">
        <v>7</v>
      </c>
      <c r="F12" s="42" t="s">
        <v>73</v>
      </c>
      <c r="G12" s="39">
        <f>SUMIF(Table3[1],"Install VFD",Table3[Investment for VFD
'[MPKR']])</f>
        <v>0</v>
      </c>
      <c r="H12" s="39" t="s">
        <v>10</v>
      </c>
    </row>
    <row r="13" spans="1:8" ht="17.25" customHeight="1">
      <c r="F13" s="42" t="s">
        <v>11</v>
      </c>
      <c r="G13" s="39" t="e">
        <f>ROUNDUP(G12*12/G11,0)</f>
        <v>#DIV/0!</v>
      </c>
      <c r="H13" s="39" t="s">
        <v>12</v>
      </c>
    </row>
    <row r="14" spans="1:8" ht="17.25" customHeight="1"/>
    <row r="15" spans="1:8" ht="17.25" customHeight="1">
      <c r="B15" s="65" t="s">
        <v>77</v>
      </c>
      <c r="C15" s="66"/>
      <c r="D15" s="66"/>
      <c r="F15" s="65" t="s">
        <v>25</v>
      </c>
      <c r="G15" s="66"/>
      <c r="H15" s="66"/>
    </row>
    <row r="16" spans="1:8" ht="3.75" customHeight="1">
      <c r="B16" s="45"/>
      <c r="F16" s="45"/>
    </row>
    <row r="17" spans="2:8" ht="17.25" customHeight="1">
      <c r="B17" s="42" t="s">
        <v>75</v>
      </c>
      <c r="C17" s="43">
        <v>0.05</v>
      </c>
      <c r="D17" s="39"/>
      <c r="F17" s="42" t="s">
        <v>84</v>
      </c>
      <c r="G17" s="46">
        <f>COUNTIF(Table3[3],"Check Cooling, Monitor Load and Temperature Regularly")</f>
        <v>0</v>
      </c>
      <c r="H17" s="39"/>
    </row>
    <row r="18" spans="2:8" ht="17.25" customHeight="1">
      <c r="B18" s="42" t="s">
        <v>76</v>
      </c>
      <c r="C18" s="39">
        <f>COUNTIF(Table3[2],"Check cable sizes, loose connections or load balance")</f>
        <v>0</v>
      </c>
      <c r="D18" s="39"/>
      <c r="F18" s="42" t="s">
        <v>86</v>
      </c>
      <c r="G18" s="44">
        <f>MAX(Table3[Motor Temperature
'[⁰C']])</f>
        <v>0</v>
      </c>
      <c r="H18" s="47" t="s">
        <v>87</v>
      </c>
    </row>
    <row r="19" spans="2:8" ht="17.25" customHeight="1">
      <c r="B19" s="42" t="s">
        <v>85</v>
      </c>
      <c r="C19" s="43">
        <f>MAX(Table3[Voltage Imbalance
'[%']])</f>
        <v>0</v>
      </c>
      <c r="D19" s="39"/>
    </row>
    <row r="20" spans="2:8"/>
    <row r="21" spans="2:8" hidden="1"/>
    <row r="22" spans="2:8" ht="3.75" hidden="1" customHeight="1"/>
  </sheetData>
  <sheetProtection password="C5AA" sheet="1" objects="1" scenarios="1"/>
  <mergeCells count="5">
    <mergeCell ref="B6:D6"/>
    <mergeCell ref="B15:D15"/>
    <mergeCell ref="F6:H6"/>
    <mergeCell ref="F15:H15"/>
    <mergeCell ref="C2:F3"/>
  </mergeCells>
  <pageMargins left="0.7" right="0.7" top="0.75" bottom="0.75" header="0.3" footer="0.3"/>
  <pageSetup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4749"/>
    <pageSetUpPr fitToPage="1"/>
  </sheetPr>
  <dimension ref="A1:BI46"/>
  <sheetViews>
    <sheetView workbookViewId="0">
      <pane xSplit="3" ySplit="8" topLeftCell="D9" activePane="bottomRight" state="frozen"/>
      <selection pane="topRight" activeCell="D1" sqref="D1"/>
      <selection pane="bottomLeft" activeCell="A9" sqref="A9"/>
      <selection pane="bottomRight" activeCell="D2" sqref="D2:F3"/>
    </sheetView>
  </sheetViews>
  <sheetFormatPr defaultColWidth="0" defaultRowHeight="15" customHeight="1" zeroHeight="1"/>
  <cols>
    <col min="1" max="1" width="2.28515625" style="29" customWidth="1"/>
    <col min="2" max="2" width="6.28515625" style="29" customWidth="1"/>
    <col min="3" max="3" width="21.7109375" style="29" customWidth="1"/>
    <col min="4" max="6" width="11.85546875" style="29" customWidth="1"/>
    <col min="7" max="7" width="8.42578125" style="29" hidden="1" customWidth="1"/>
    <col min="8" max="8" width="11.85546875" style="29" customWidth="1"/>
    <col min="9" max="9" width="0.28515625" style="29" customWidth="1"/>
    <col min="10" max="10" width="9.5703125" style="29" customWidth="1"/>
    <col min="11" max="11" width="13.140625" style="29" customWidth="1"/>
    <col min="12" max="12" width="9" style="29" customWidth="1"/>
    <col min="13" max="13" width="11.85546875" style="29" bestFit="1" customWidth="1"/>
    <col min="14" max="14" width="11.7109375" style="29" customWidth="1"/>
    <col min="15" max="15" width="12.7109375" style="29" bestFit="1" customWidth="1"/>
    <col min="16" max="16" width="11.140625" style="29" bestFit="1" customWidth="1"/>
    <col min="17" max="17" width="0.28515625" style="29" customWidth="1"/>
    <col min="18" max="20" width="5.28515625" style="29" customWidth="1"/>
    <col min="21" max="24" width="9.140625" style="29" hidden="1" customWidth="1"/>
    <col min="25" max="25" width="9.140625" style="29" customWidth="1"/>
    <col min="26" max="26" width="0.28515625" style="29" customWidth="1"/>
    <col min="27" max="27" width="13" style="29" bestFit="1" customWidth="1"/>
    <col min="28" max="28" width="11" style="29" customWidth="1"/>
    <col min="29" max="30" width="9.140625" style="29" hidden="1" customWidth="1"/>
    <col min="31" max="31" width="11.5703125" style="29" customWidth="1"/>
    <col min="32" max="32" width="0.28515625" style="29" customWidth="1"/>
    <col min="33" max="33" width="13.42578125" style="29" bestFit="1" customWidth="1"/>
    <col min="34" max="34" width="48.28515625" style="29" bestFit="1" customWidth="1"/>
    <col min="35" max="35" width="52" style="29" bestFit="1" customWidth="1"/>
    <col min="36" max="16384" width="9.140625" style="29" hidden="1"/>
  </cols>
  <sheetData>
    <row r="1" spans="1:37" s="25" customFormat="1"/>
    <row r="2" spans="1:37" s="26" customFormat="1" ht="15" customHeight="1">
      <c r="D2" s="103" t="s">
        <v>89</v>
      </c>
      <c r="E2" s="103"/>
      <c r="F2" s="103"/>
    </row>
    <row r="3" spans="1:37" s="26" customFormat="1" ht="15" customHeight="1">
      <c r="C3" s="104"/>
      <c r="D3" s="103"/>
      <c r="E3" s="103"/>
      <c r="F3" s="103"/>
    </row>
    <row r="4" spans="1:37" s="26" customFormat="1" ht="12" customHeight="1">
      <c r="C4" s="104"/>
      <c r="D4" s="105"/>
      <c r="E4" s="105"/>
    </row>
    <row r="5" spans="1:37" s="26" customFormat="1">
      <c r="D5" s="106" t="s">
        <v>49</v>
      </c>
      <c r="E5" s="106"/>
      <c r="F5" s="107">
        <v>18</v>
      </c>
      <c r="G5" s="108"/>
      <c r="H5" s="109" t="s">
        <v>5</v>
      </c>
    </row>
    <row r="6" spans="1:37" s="26" customFormat="1" ht="6.75" customHeight="1">
      <c r="C6" s="104"/>
      <c r="D6" s="110"/>
      <c r="E6" s="111"/>
    </row>
    <row r="7" spans="1:37" s="25" customFormat="1">
      <c r="D7" s="112" t="s">
        <v>59</v>
      </c>
      <c r="E7" s="112"/>
      <c r="F7" s="112"/>
      <c r="G7" s="112"/>
      <c r="H7" s="112"/>
      <c r="J7" s="112" t="s">
        <v>46</v>
      </c>
      <c r="K7" s="112"/>
      <c r="L7" s="112"/>
      <c r="M7" s="112"/>
      <c r="N7" s="112"/>
      <c r="O7" s="112"/>
      <c r="P7" s="112"/>
      <c r="R7" s="62" t="s">
        <v>60</v>
      </c>
      <c r="S7" s="62"/>
      <c r="T7" s="62"/>
      <c r="U7" s="62"/>
      <c r="V7" s="62"/>
      <c r="W7" s="62"/>
      <c r="X7" s="62"/>
      <c r="Y7" s="62"/>
      <c r="Z7" s="113"/>
      <c r="AA7" s="62" t="s">
        <v>25</v>
      </c>
      <c r="AB7" s="62"/>
      <c r="AC7" s="62"/>
      <c r="AD7" s="62"/>
      <c r="AE7" s="62"/>
      <c r="AF7" s="26"/>
      <c r="AG7" s="62" t="s">
        <v>61</v>
      </c>
      <c r="AH7" s="62"/>
      <c r="AI7" s="62"/>
    </row>
    <row r="8" spans="1:37" ht="78" customHeight="1">
      <c r="A8" s="25"/>
      <c r="B8" s="29" t="s">
        <v>2</v>
      </c>
      <c r="C8" s="114" t="s">
        <v>30</v>
      </c>
      <c r="D8" s="114" t="s">
        <v>3</v>
      </c>
      <c r="E8" s="114" t="s">
        <v>28</v>
      </c>
      <c r="F8" s="114" t="s">
        <v>31</v>
      </c>
      <c r="G8" s="27" t="s">
        <v>4</v>
      </c>
      <c r="H8" s="114" t="s">
        <v>0</v>
      </c>
      <c r="I8" s="33" t="s">
        <v>57</v>
      </c>
      <c r="J8" s="114" t="s">
        <v>52</v>
      </c>
      <c r="K8" s="114" t="s">
        <v>37</v>
      </c>
      <c r="L8" s="114" t="s">
        <v>29</v>
      </c>
      <c r="M8" s="27" t="s">
        <v>50</v>
      </c>
      <c r="N8" s="27" t="s">
        <v>51</v>
      </c>
      <c r="O8" s="114" t="s">
        <v>68</v>
      </c>
      <c r="P8" s="27" t="s">
        <v>62</v>
      </c>
      <c r="Q8" s="36" t="s">
        <v>55</v>
      </c>
      <c r="R8" s="114" t="s">
        <v>47</v>
      </c>
      <c r="S8" s="114" t="s">
        <v>48</v>
      </c>
      <c r="T8" s="114" t="s">
        <v>21</v>
      </c>
      <c r="U8" s="27" t="s">
        <v>40</v>
      </c>
      <c r="V8" s="27" t="s">
        <v>41</v>
      </c>
      <c r="W8" s="27" t="s">
        <v>42</v>
      </c>
      <c r="X8" s="27" t="s">
        <v>43</v>
      </c>
      <c r="Y8" s="27" t="s">
        <v>44</v>
      </c>
      <c r="Z8" s="36" t="s">
        <v>58</v>
      </c>
      <c r="AA8" s="114" t="s">
        <v>17</v>
      </c>
      <c r="AB8" s="114" t="s">
        <v>18</v>
      </c>
      <c r="AC8" s="27" t="s">
        <v>39</v>
      </c>
      <c r="AD8" s="27" t="s">
        <v>38</v>
      </c>
      <c r="AE8" s="27" t="s">
        <v>32</v>
      </c>
      <c r="AF8" s="51" t="s">
        <v>56</v>
      </c>
      <c r="AG8" s="52" t="s">
        <v>63</v>
      </c>
      <c r="AH8" s="52" t="s">
        <v>64</v>
      </c>
      <c r="AI8" s="52" t="s">
        <v>65</v>
      </c>
      <c r="AJ8" s="115" t="s">
        <v>8</v>
      </c>
      <c r="AK8" s="25"/>
    </row>
    <row r="9" spans="1:37">
      <c r="A9" s="25"/>
      <c r="B9" s="11">
        <f>IF(Table32[[#This Row],[Rated Motor Power
'[kW']]]&gt;0,ROW(Table32[[#This Row],[Motor Code
'[Identity']]])-ROW(Table32[[#Headers],[Motor Code
'[Identity']]]),"")</f>
        <v>1</v>
      </c>
      <c r="C9" s="29" t="s">
        <v>66</v>
      </c>
      <c r="D9" s="29">
        <v>15</v>
      </c>
      <c r="E9" s="116">
        <v>0.9</v>
      </c>
      <c r="F9" s="29">
        <v>12.5</v>
      </c>
      <c r="G9" s="28">
        <f>IF(Table32[[#This Row],[Measured Motor Power at Full Load
'[kW']]]=0,Table32[[#This Row],[Rated Motor Power
'[kW']]]*Table32[[#This Row],[Design Efficiency
'[%']]],Table32[[#This Row],[Measured Motor Power at Full Load
'[kW']]])</f>
        <v>12.5</v>
      </c>
      <c r="H9" s="29">
        <v>1728</v>
      </c>
      <c r="I9" s="35"/>
      <c r="J9" s="29" t="s">
        <v>54</v>
      </c>
      <c r="K9" s="29" t="s">
        <v>35</v>
      </c>
      <c r="L9" s="117">
        <v>0.27</v>
      </c>
      <c r="M9" s="48">
        <f>IF(Table32[[#This Row],[VFD Installed or Not!]]="No", IF(Table32[[#This Row],[Motor Load Type
'[Variable or Constant']]]="Variable",(Table32[[#This Row],[Rated Motor Power
'[kW']]]/Table32[[#This Row],[Design Efficiency
'[%']]]*0.7*0.96*(1-Table32[[#This Row],[Average Load on motor
'[%']]])*Table32[[#This Row],[Annual Operation
'[hrs/y']]]),"N/A"),"N/A")</f>
        <v>14128.128000000001</v>
      </c>
      <c r="N9" s="49">
        <f>IF(Table32[[#This Row],[Energy Saving for Installing VFD
'[kWh/y']]]="N/A",0,Table32[[#This Row],[Energy Saving for Installing VFD
'[kWh/y']]]*$F$5)/1000000</f>
        <v>0.25430630399999998</v>
      </c>
      <c r="O9" s="118">
        <v>0.12</v>
      </c>
      <c r="P9" s="49">
        <f>IF(Table32[[#This Row],[Energy Saving for Installing VFD
'[MPKR/y']]]=0,"N/A", Table32[[#This Row],[Investment for VFD
'[MPKR']]]*12/Table32[[#This Row],[Energy Saving for Installing VFD
'[MPKR/y']]])</f>
        <v>5.6624628542436763</v>
      </c>
      <c r="Q9" s="119"/>
      <c r="R9" s="29">
        <v>220</v>
      </c>
      <c r="S9" s="29">
        <v>218</v>
      </c>
      <c r="T9" s="29">
        <v>201</v>
      </c>
      <c r="U9" s="23">
        <f>IF(Table32[[#This Row],[R]]*Table32[[#This Row],[Y]]*Table32[[#This Row],[B]]&gt;0,AVERAGE(Table32[[#This Row],[R]:[B]]),0)</f>
        <v>213</v>
      </c>
      <c r="V9" s="23">
        <f>SQRT((Table32[[#This Row],[Average Voltage ]]-Table32[[#This Row],[R]])^2)</f>
        <v>7</v>
      </c>
      <c r="W9" s="23">
        <f>SQRT((Table32[[#This Row],[Average Voltage ]]-Table32[[#This Row],[Y]])^2)</f>
        <v>5</v>
      </c>
      <c r="X9" s="23">
        <f>SQRT((Table32[[#This Row],[Average Voltage ]]-Table32[[#This Row],[B]])^2)</f>
        <v>12</v>
      </c>
      <c r="Y9" s="24">
        <f>IF(Table32[[#This Row],[Average Voltage ]]&gt;0,MAX(Table32[[#This Row],[ΔV1]:[ΔV3]])/Table32[[#This Row],[Average Voltage ]],0)</f>
        <v>5.6338028169014086E-2</v>
      </c>
      <c r="Z9" s="34"/>
      <c r="AA9" s="29">
        <v>70</v>
      </c>
      <c r="AB9" s="29" t="s">
        <v>20</v>
      </c>
      <c r="AC9" s="28">
        <f>IF(Table32[[#This Row],[Motor Insulation Class]]=0,0,VLOOKUP(Table32[[#This Row],[Motor Insulation Class]],Table4[],2,FALSE))</f>
        <v>60</v>
      </c>
      <c r="AD9" s="28">
        <f>IF(Table32[[#This Row],[Motor Insulation Class]]=0,0,VLOOKUP(Table32[[#This Row],[Motor Insulation Class]],Table4[],3,FALSE))</f>
        <v>70</v>
      </c>
      <c r="AE9" s="28">
        <f>IF(Table32[[#This Row],[Average Load on motor
'[%']]]&lt;1,Table32[[#This Row],[Suggested temperature (SF &lt;1)]],Table32[[#This Row],[Suggested temperature (SF &gt;1)]])</f>
        <v>60</v>
      </c>
      <c r="AF9" s="53"/>
      <c r="AG9" s="48" t="str">
        <f>IF(Table32[[#This Row],[Payback Period
'[months']]]&gt;24,"","Install VFD")</f>
        <v>Install VFD</v>
      </c>
      <c r="AH9" s="48" t="str">
        <f>IF(Table32[[#This Row],[Voltage Imbalance
'[%']]]&gt;0.05,"Check cable sizes, loose connections or load balance","")</f>
        <v>Check cable sizes, loose connections or load balance</v>
      </c>
      <c r="AI9" s="48" t="str">
        <f>IF(Table32[[#This Row],[Motor Temperature
'[⁰C']]]&gt;Table32[[#This Row],[Recommended Motor Temperature
'[⁰C']]],"Check Cooling, Monitor Load and Temperature Regularly","")</f>
        <v>Check Cooling, Monitor Load and Temperature Regularly</v>
      </c>
      <c r="AK9" s="25"/>
    </row>
    <row r="10" spans="1:37">
      <c r="A10" s="25"/>
      <c r="B10" s="12">
        <f>SUBTOTAL(102,Table32['#])</f>
        <v>1</v>
      </c>
      <c r="C10" s="28"/>
      <c r="D10" s="28">
        <f>SUBTOTAL(109,Table32[Rated Motor Power
'[kW']])</f>
        <v>15</v>
      </c>
      <c r="E10" s="38"/>
      <c r="F10" s="23">
        <f>SUBTOTAL(109,Table32[Measured Motor Power at Full Load
'[kW']])</f>
        <v>12.5</v>
      </c>
      <c r="G10" s="28">
        <f>SUBTOTAL(109,Table32[Motor Shaft Power
'[kw']])</f>
        <v>12.5</v>
      </c>
      <c r="H10" s="28">
        <f>SUBTOTAL(101,Table32[Annual Operation
'[hrs/y']])</f>
        <v>1728</v>
      </c>
      <c r="I10" s="35"/>
      <c r="J10" s="28"/>
      <c r="K10" s="28"/>
      <c r="L10" s="120">
        <f>SUBTOTAL(101,Table32[Average Load on motor
'[%']])</f>
        <v>0.27</v>
      </c>
      <c r="M10" s="50">
        <f>SUBTOTAL(109,Table32[Energy Saving for Installing VFD
'[kWh/y']])</f>
        <v>14128.128000000001</v>
      </c>
      <c r="N10" s="50">
        <f>SUBTOTAL(109,Table32[Energy Saving for Installing VFD
'[MPKR/y']])</f>
        <v>0.25430630399999998</v>
      </c>
      <c r="O10" s="50">
        <f>SUBTOTAL(109,Table32[Investment for VFD
'[MPKR']])</f>
        <v>0.12</v>
      </c>
      <c r="P10" s="50">
        <f>IF(Table32[[#Totals],[Energy Saving for Installing VFD
'[MPKR/y']]]=0,"N/A",Table32[[#Totals],[Investment for VFD
'[MPKR']]]*12/Table32[[#Totals],[Energy Saving for Installing VFD
'[MPKR/y']]])</f>
        <v>5.6624628542436763</v>
      </c>
      <c r="Q10" s="121"/>
      <c r="R10" s="28"/>
      <c r="S10" s="28"/>
      <c r="T10" s="28"/>
      <c r="U10" s="28"/>
      <c r="V10" s="28"/>
      <c r="W10" s="28"/>
      <c r="X10" s="28"/>
      <c r="Y10" s="38"/>
      <c r="Z10" s="35"/>
      <c r="AA10" s="28"/>
      <c r="AB10" s="28"/>
      <c r="AC10" s="28"/>
      <c r="AD10" s="28"/>
      <c r="AE10" s="28"/>
      <c r="AF10" s="35"/>
      <c r="AG10" s="28"/>
      <c r="AH10" s="28"/>
      <c r="AI10" s="28"/>
      <c r="AJ10" s="28"/>
      <c r="AK10" s="25"/>
    </row>
    <row r="11" spans="1:37">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K11" s="25"/>
    </row>
    <row r="12" spans="1:37">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K12" s="25"/>
    </row>
    <row r="13" spans="1:37" hidden="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K13" s="25"/>
    </row>
    <row r="14" spans="1:37" hidden="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K14" s="25"/>
    </row>
    <row r="15" spans="1:37" hidden="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hidden="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61" hidden="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61" hidden="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61" hidden="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61" hidden="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row>
    <row r="21" spans="1:61" hidden="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61" hidden="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61" hidden="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61" hidden="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61" hidden="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row>
    <row r="26" spans="1:61" hidden="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row>
    <row r="27" spans="1:61" hidden="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row>
    <row r="28" spans="1:61" hidden="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row>
    <row r="29" spans="1:61" hidden="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61" s="25" customFormat="1" hidden="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61" s="25" customFormat="1" hidden="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61" s="25" customFormat="1" hidden="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6" s="25" customFormat="1" hidden="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6" s="25" customFormat="1" hidden="1">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row>
    <row r="35" spans="2:36" s="25" customFormat="1" hidden="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row>
    <row r="36" spans="2:36" s="25" customFormat="1" hidden="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row>
    <row r="37" spans="2:36" s="25" customFormat="1" hidden="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row>
    <row r="38" spans="2:36" s="25" customFormat="1" hidden="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row>
    <row r="39" spans="2:36" s="25" customFormat="1" hidden="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row>
    <row r="40" spans="2:36" s="25" customFormat="1" hidden="1">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row>
    <row r="41" spans="2:36" s="25" customFormat="1" hidden="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row>
    <row r="42" spans="2:36" s="25" customFormat="1" hidden="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row>
    <row r="43" spans="2:36" s="25" customFormat="1" hidden="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row>
    <row r="44" spans="2:36" s="25" customFormat="1" hidden="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row>
    <row r="45" spans="2:36" hidden="1"/>
    <row r="46" spans="2:36" hidden="1"/>
  </sheetData>
  <sheetProtection password="C5AA" sheet="1" objects="1" scenarios="1" pivotTables="0"/>
  <mergeCells count="7">
    <mergeCell ref="AG7:AI7"/>
    <mergeCell ref="D2:F3"/>
    <mergeCell ref="D5:E5"/>
    <mergeCell ref="D7:H7"/>
    <mergeCell ref="J7:P7"/>
    <mergeCell ref="R7:Y7"/>
    <mergeCell ref="AA7:AE7"/>
  </mergeCells>
  <conditionalFormatting sqref="AA9:AA10">
    <cfRule type="expression" dxfId="145" priority="3">
      <formula>$AA9&gt;$AE9</formula>
    </cfRule>
  </conditionalFormatting>
  <conditionalFormatting sqref="Y9:Y10">
    <cfRule type="expression" dxfId="144" priority="2">
      <formula>$Y9&gt;0.05</formula>
    </cfRule>
  </conditionalFormatting>
  <conditionalFormatting sqref="Y9">
    <cfRule type="expression" dxfId="143" priority="1">
      <formula>$Y9=""</formula>
    </cfRule>
  </conditionalFormatting>
  <pageMargins left="0.25" right="0.25" top="0.75" bottom="0" header="0.3" footer="0.05"/>
  <pageSetup paperSize="9" scale="42"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Select from Dropdown">
          <x14:formula1>
            <xm:f>'Drop Down'!$C$7:$C$11</xm:f>
          </x14:formula1>
          <xm:sqref>AB9</xm:sqref>
        </x14:dataValidation>
        <x14:dataValidation type="list" allowBlank="1" showInputMessage="1" showErrorMessage="1" promptTitle="Select from Dropdown">
          <x14:formula1>
            <xm:f>'Drop Down'!$J$7:$J$9</xm:f>
          </x14:formula1>
          <xm:sqref>J9</xm:sqref>
        </x14:dataValidation>
        <x14:dataValidation type="list" allowBlank="1" showInputMessage="1" showErrorMessage="1" promptTitle="Select from Dropdown">
          <x14:formula1>
            <xm:f>'Drop Down'!$H$7:$H$9</xm:f>
          </x14:formula1>
          <xm:sqref>K9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Data Input</vt:lpstr>
      <vt:lpstr>Drop Down</vt:lpstr>
      <vt:lpstr>Motor Efficiency Dashboard</vt:lpstr>
      <vt:lpstr>Example Data Input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M.Salman</dc:creator>
  <cp:lastModifiedBy>salman</cp:lastModifiedBy>
  <cp:lastPrinted>2017-04-12T09:16:29Z</cp:lastPrinted>
  <dcterms:created xsi:type="dcterms:W3CDTF">2017-02-09T10:17:42Z</dcterms:created>
  <dcterms:modified xsi:type="dcterms:W3CDTF">2017-04-12T09:33:55Z</dcterms:modified>
</cp:coreProperties>
</file>