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5AA" lockStructure="1"/>
  <bookViews>
    <workbookView xWindow="165" yWindow="-15" windowWidth="11355" windowHeight="6945"/>
  </bookViews>
  <sheets>
    <sheet name="Home" sheetId="11" r:id="rId1"/>
    <sheet name="Data Input" sheetId="4" r:id="rId2"/>
    <sheet name="Energy Performance Dashboard" sheetId="14" r:id="rId3"/>
    <sheet name="Drop Down" sheetId="1" state="hidden" r:id="rId4"/>
    <sheet name="Example Data" sheetId="15" r:id="rId5"/>
  </sheets>
  <calcPr calcId="145621"/>
</workbook>
</file>

<file path=xl/calcChain.xml><?xml version="1.0" encoding="utf-8"?>
<calcChain xmlns="http://schemas.openxmlformats.org/spreadsheetml/2006/main">
  <c r="G7" i="4" l="1"/>
  <c r="G8" i="4" s="1"/>
  <c r="X15" i="15"/>
  <c r="U15" i="15"/>
  <c r="J15" i="15"/>
  <c r="I15" i="15"/>
  <c r="H15" i="15"/>
  <c r="F15" i="15"/>
  <c r="E15" i="15"/>
  <c r="N14" i="15"/>
  <c r="Q14" i="15" s="1"/>
  <c r="L14" i="15"/>
  <c r="B14" i="15"/>
  <c r="W13" i="15"/>
  <c r="Y13" i="15" s="1"/>
  <c r="V13" i="15"/>
  <c r="N13" i="15"/>
  <c r="Q13" i="15" s="1"/>
  <c r="L13" i="15"/>
  <c r="B13" i="15"/>
  <c r="N12" i="15"/>
  <c r="Q12" i="15" s="1"/>
  <c r="L12" i="15"/>
  <c r="B12" i="15"/>
  <c r="G7" i="15"/>
  <c r="G8" i="15" s="1"/>
  <c r="C18" i="14"/>
  <c r="C22" i="14"/>
  <c r="C21" i="14"/>
  <c r="U21" i="4"/>
  <c r="G16" i="14" s="1"/>
  <c r="C17" i="14"/>
  <c r="C10" i="14"/>
  <c r="C9" i="14"/>
  <c r="O12" i="15" l="1"/>
  <c r="N15" i="15"/>
  <c r="B15" i="15"/>
  <c r="O14" i="15"/>
  <c r="R14" i="15" s="1"/>
  <c r="C19" i="14"/>
  <c r="P12" i="15"/>
  <c r="R12" i="15"/>
  <c r="Q15" i="15"/>
  <c r="L15" i="15"/>
  <c r="O13" i="15"/>
  <c r="R13" i="15" s="1"/>
  <c r="P13" i="15"/>
  <c r="S13" i="15" s="1"/>
  <c r="G12" i="14"/>
  <c r="G11" i="14"/>
  <c r="C11" i="14"/>
  <c r="C8" i="14"/>
  <c r="B12" i="4"/>
  <c r="I21" i="4"/>
  <c r="E21" i="4"/>
  <c r="G10" i="14" s="1"/>
  <c r="P14" i="15" l="1"/>
  <c r="R15" i="15"/>
  <c r="O15" i="15"/>
  <c r="V12" i="15"/>
  <c r="S12" i="15"/>
  <c r="V13" i="4"/>
  <c r="W13" i="4" s="1"/>
  <c r="Y13" i="4" s="1"/>
  <c r="V14" i="4"/>
  <c r="W14" i="4" s="1"/>
  <c r="Y14" i="4" s="1"/>
  <c r="V15" i="4"/>
  <c r="W15" i="4" s="1"/>
  <c r="Y15" i="4" s="1"/>
  <c r="V16" i="4"/>
  <c r="W16" i="4" s="1"/>
  <c r="Y16" i="4" s="1"/>
  <c r="V17" i="4"/>
  <c r="W17" i="4" s="1"/>
  <c r="Y17" i="4" s="1"/>
  <c r="V18" i="4"/>
  <c r="W18" i="4" s="1"/>
  <c r="Y18" i="4" s="1"/>
  <c r="V19" i="4"/>
  <c r="W19" i="4" s="1"/>
  <c r="Y19" i="4" s="1"/>
  <c r="V20" i="4"/>
  <c r="W20" i="4" s="1"/>
  <c r="Y20" i="4" s="1"/>
  <c r="N12" i="4"/>
  <c r="N21" i="4" s="1"/>
  <c r="C16" i="14" s="1"/>
  <c r="N13" i="4"/>
  <c r="Q13" i="4" s="1"/>
  <c r="N14" i="4"/>
  <c r="Q14" i="4" s="1"/>
  <c r="N15" i="4"/>
  <c r="N16" i="4"/>
  <c r="N17" i="4"/>
  <c r="N18" i="4"/>
  <c r="Q18" i="4" s="1"/>
  <c r="N19" i="4"/>
  <c r="N20" i="4"/>
  <c r="L12" i="4"/>
  <c r="L13" i="4"/>
  <c r="L14" i="4"/>
  <c r="L15" i="4"/>
  <c r="L16" i="4"/>
  <c r="L17" i="4"/>
  <c r="O17" i="4" s="1"/>
  <c r="P17" i="4" s="1"/>
  <c r="S17" i="4" s="1"/>
  <c r="L18" i="4"/>
  <c r="L19" i="4"/>
  <c r="L20" i="4"/>
  <c r="Q17" i="4"/>
  <c r="S14" i="15" l="1"/>
  <c r="V14" i="15"/>
  <c r="W14" i="15" s="1"/>
  <c r="Y14" i="15" s="1"/>
  <c r="L21" i="4"/>
  <c r="C23" i="14"/>
  <c r="W12" i="15"/>
  <c r="V15" i="15"/>
  <c r="P15" i="15"/>
  <c r="S15" i="15"/>
  <c r="O16" i="4"/>
  <c r="P16" i="4" s="1"/>
  <c r="S16" i="4" s="1"/>
  <c r="O13" i="4"/>
  <c r="P13" i="4" s="1"/>
  <c r="S13" i="4" s="1"/>
  <c r="O18" i="4"/>
  <c r="R18" i="4" s="1"/>
  <c r="O14" i="4"/>
  <c r="R14" i="4" s="1"/>
  <c r="R16" i="4"/>
  <c r="O19" i="4"/>
  <c r="R19" i="4" s="1"/>
  <c r="P18" i="4"/>
  <c r="S18" i="4" s="1"/>
  <c r="P14" i="4"/>
  <c r="S14" i="4" s="1"/>
  <c r="O20" i="4"/>
  <c r="P20" i="4" s="1"/>
  <c r="S20" i="4" s="1"/>
  <c r="O15" i="4"/>
  <c r="P15" i="4" s="1"/>
  <c r="S15" i="4" s="1"/>
  <c r="O12" i="4"/>
  <c r="P19" i="4"/>
  <c r="S19" i="4" s="1"/>
  <c r="Q20" i="4"/>
  <c r="Q16" i="4"/>
  <c r="Q12" i="4"/>
  <c r="Q19" i="4"/>
  <c r="Q15" i="4"/>
  <c r="R17" i="4"/>
  <c r="R13" i="4"/>
  <c r="Q21" i="4" l="1"/>
  <c r="C20" i="14" s="1"/>
  <c r="R12" i="4"/>
  <c r="O21" i="4"/>
  <c r="W15" i="15"/>
  <c r="Y15" i="15" s="1"/>
  <c r="Y12" i="15"/>
  <c r="R15" i="4"/>
  <c r="R20" i="4"/>
  <c r="R21" i="4" s="1"/>
  <c r="P12" i="4"/>
  <c r="P21" i="4" s="1"/>
  <c r="F21" i="4"/>
  <c r="G9" i="14" s="1"/>
  <c r="H21" i="4"/>
  <c r="X21" i="4"/>
  <c r="G19" i="14" s="1"/>
  <c r="B13" i="4"/>
  <c r="B14" i="4"/>
  <c r="B15" i="4"/>
  <c r="B16" i="4"/>
  <c r="B17" i="4"/>
  <c r="B18" i="4"/>
  <c r="B19" i="4"/>
  <c r="B20" i="4"/>
  <c r="S12" i="4" l="1"/>
  <c r="S21" i="4" s="1"/>
  <c r="V12" i="4"/>
  <c r="W12" i="4" s="1"/>
  <c r="Y12" i="4" s="1"/>
  <c r="B21" i="4"/>
  <c r="G8" i="14" s="1"/>
  <c r="V21" i="4" l="1"/>
  <c r="G17" i="14" s="1"/>
  <c r="W21" i="4"/>
  <c r="Y21" i="4" l="1"/>
  <c r="G18" i="14"/>
  <c r="G20" i="14" s="1"/>
  <c r="J21" i="4"/>
</calcChain>
</file>

<file path=xl/sharedStrings.xml><?xml version="1.0" encoding="utf-8"?>
<sst xmlns="http://schemas.openxmlformats.org/spreadsheetml/2006/main" count="145" uniqueCount="80">
  <si>
    <t>Annual Operation
[hrs/y]</t>
  </si>
  <si>
    <t>Select</t>
  </si>
  <si>
    <t>#</t>
  </si>
  <si>
    <t>Rated Motor Power
[kW]</t>
  </si>
  <si>
    <t>PKR/kWh</t>
  </si>
  <si>
    <t>kWh/y</t>
  </si>
  <si>
    <r>
      <rPr>
        <b/>
        <sz val="11"/>
        <color theme="1"/>
        <rFont val="Calibri"/>
        <family val="2"/>
        <scheme val="minor"/>
      </rPr>
      <t xml:space="preserve">Introduction:
</t>
    </r>
    <r>
      <rPr>
        <sz val="11"/>
        <color theme="1"/>
        <rFont val="Calibri"/>
        <family val="2"/>
        <scheme val="minor"/>
      </rPr>
      <t>The Punjab Energy Efficiency and Conservation Authority (PEECA) of the Governnment of Punjab, Pakistan is working rigurously to improve energy efficiency and promote a culture of Energy Conservation in the province. To aide the efforts, PEECA has developed excel based self-assessment tools to calculate energy efficiency and enerrgy saving potentials in different industrial and commercial utilities.</t>
    </r>
  </si>
  <si>
    <r>
      <rPr>
        <b/>
        <sz val="11"/>
        <color theme="1"/>
        <rFont val="Calibri"/>
        <family val="2"/>
        <scheme val="minor"/>
      </rPr>
      <t>Contact:</t>
    </r>
    <r>
      <rPr>
        <sz val="11"/>
        <color theme="1"/>
        <rFont val="Calibri"/>
        <family val="2"/>
        <scheme val="minor"/>
      </rPr>
      <t xml:space="preserve">
Users may contact following for any clarification, suggestion and/or improvement in this tool;</t>
    </r>
  </si>
  <si>
    <r>
      <rPr>
        <b/>
        <sz val="11"/>
        <color theme="1"/>
        <rFont val="Calibri"/>
        <family val="2"/>
        <scheme val="minor"/>
      </rPr>
      <t xml:space="preserve">Developer
</t>
    </r>
    <r>
      <rPr>
        <sz val="11"/>
        <color theme="1"/>
        <rFont val="Calibri"/>
        <family val="2"/>
        <scheme val="minor"/>
      </rPr>
      <t xml:space="preserve">M. Salman Butt
ESPIRE Consult
+92 305 555 2343
</t>
    </r>
    <r>
      <rPr>
        <u/>
        <sz val="11"/>
        <color theme="3"/>
        <rFont val="Calibri"/>
        <family val="2"/>
        <scheme val="minor"/>
      </rPr>
      <t xml:space="preserve">salman@espire.com.pk
</t>
    </r>
    <r>
      <rPr>
        <sz val="11"/>
        <color theme="1"/>
        <rFont val="Calibri"/>
        <family val="2"/>
        <scheme val="minor"/>
      </rPr>
      <t>198 A-1, M. A. Jauhar Town, Lahore, Pakistan</t>
    </r>
  </si>
  <si>
    <t>Design Efficiency
[%]</t>
  </si>
  <si>
    <t>Motor Control</t>
  </si>
  <si>
    <t>Energy Saving for Installing VFD
[kWh/y]</t>
  </si>
  <si>
    <t>VFD Installed or Not!</t>
  </si>
  <si>
    <t>Yes</t>
  </si>
  <si>
    <t>No</t>
  </si>
  <si>
    <t>Column5</t>
  </si>
  <si>
    <t>Column8</t>
  </si>
  <si>
    <t>Payback Period
[months]</t>
  </si>
  <si>
    <t>Average Running Hours</t>
  </si>
  <si>
    <t>hrs/y</t>
  </si>
  <si>
    <t>kW</t>
  </si>
  <si>
    <t>Compressor Code
[Identity]</t>
  </si>
  <si>
    <t>Column2</t>
  </si>
  <si>
    <t>On-load Operation
[hrs/y]</t>
  </si>
  <si>
    <t>Load Factor
[%]</t>
  </si>
  <si>
    <t>On-load Motor Power
[kW]</t>
  </si>
  <si>
    <t>Off-load Motor Power
[kW]</t>
  </si>
  <si>
    <t>On-load Energy Cost
[PKR/y]</t>
  </si>
  <si>
    <t>Off-load Energy Cost
[PKR/y]</t>
  </si>
  <si>
    <t>On-load Energy Consumption
[kWh/y]</t>
  </si>
  <si>
    <t>Off-load Energy Consumption
[kWh/y]</t>
  </si>
  <si>
    <t>Total Energy Consumption
[kWh/y]</t>
  </si>
  <si>
    <t>Total Energy Cost
[PKR/y]</t>
  </si>
  <si>
    <t>Compressor Type</t>
  </si>
  <si>
    <t>Reciprocating</t>
  </si>
  <si>
    <t>Centrifugal / Screw</t>
  </si>
  <si>
    <t>Comp-0001</t>
  </si>
  <si>
    <t>Energy Saving for Installing VFD
[PKR/y]</t>
  </si>
  <si>
    <t>Investment for VFD
[PKR]</t>
  </si>
  <si>
    <t>Comp-0002</t>
  </si>
  <si>
    <t>Compressor Motor Controller</t>
  </si>
  <si>
    <t>Compressor Energy Consumption and Cost</t>
  </si>
  <si>
    <t>Compressor Motor Parameters</t>
  </si>
  <si>
    <t>Compressors Data Sheet</t>
  </si>
  <si>
    <t>Compressor Energy Performance Dashboard</t>
  </si>
  <si>
    <t>Electricity Price</t>
  </si>
  <si>
    <t>Power Consumption of Auxilliaries</t>
  </si>
  <si>
    <t>Total Load of Auxilliaries (e.g. dryer, filter etc.)</t>
  </si>
  <si>
    <t>PKR/y</t>
  </si>
  <si>
    <r>
      <t>Discharge Flow Rate
[m</t>
    </r>
    <r>
      <rPr>
        <sz val="11"/>
        <color theme="1"/>
        <rFont val="Calibri"/>
        <family val="2"/>
      </rPr>
      <t>ᶟ</t>
    </r>
    <r>
      <rPr>
        <sz val="11"/>
        <color theme="1"/>
        <rFont val="Calibri"/>
        <family val="2"/>
        <scheme val="minor"/>
      </rPr>
      <t>/min]</t>
    </r>
  </si>
  <si>
    <t>Average Load Factor</t>
  </si>
  <si>
    <t>%</t>
  </si>
  <si>
    <t>No. of Reciprocating Compressors</t>
  </si>
  <si>
    <t>No. of Centrifugal / Screw Compressors</t>
  </si>
  <si>
    <t>Installed Motor Capacity</t>
  </si>
  <si>
    <t>Energy Consumption</t>
  </si>
  <si>
    <t>Compressor Data</t>
  </si>
  <si>
    <t>Installed Discharge Capacity</t>
  </si>
  <si>
    <r>
      <t>m</t>
    </r>
    <r>
      <rPr>
        <sz val="11"/>
        <color theme="1"/>
        <rFont val="Calibri"/>
        <family val="2"/>
      </rPr>
      <t>ᶟ/min</t>
    </r>
  </si>
  <si>
    <t>Total Energy Consumption</t>
  </si>
  <si>
    <t>Reciprocating Compressors</t>
  </si>
  <si>
    <t>Centrifugal / Screw Compressors</t>
  </si>
  <si>
    <t>Total Energy Cost</t>
  </si>
  <si>
    <t>Energy Saving Potential</t>
  </si>
  <si>
    <t>Energy Saving by Installing VFD</t>
  </si>
  <si>
    <t>No. of Compressors without VFD</t>
  </si>
  <si>
    <t>PKR</t>
  </si>
  <si>
    <t>Payback Period</t>
  </si>
  <si>
    <t>Months</t>
  </si>
  <si>
    <t>Total Investment</t>
  </si>
  <si>
    <t>Auxilliaries</t>
  </si>
  <si>
    <t>Comp-0003</t>
  </si>
  <si>
    <t>Example Compressors Data Sheet</t>
  </si>
  <si>
    <r>
      <rPr>
        <b/>
        <sz val="11"/>
        <color theme="1"/>
        <rFont val="Calibri"/>
        <family val="2"/>
        <scheme val="minor"/>
      </rPr>
      <t>About this tool:</t>
    </r>
    <r>
      <rPr>
        <sz val="11"/>
        <color theme="1"/>
        <rFont val="Calibri"/>
        <family val="2"/>
        <scheme val="minor"/>
      </rPr>
      <t xml:space="preserve">
This tool calculates energy consumption and energy cost of compressors. Energy consumed during off-load running of Centrifugal / Screw compressors is calculated and energy saving potential by installing VFD is investigated.</t>
    </r>
  </si>
  <si>
    <r>
      <rPr>
        <b/>
        <sz val="11"/>
        <color theme="1"/>
        <rFont val="Calibri"/>
        <family val="2"/>
        <scheme val="minor"/>
      </rPr>
      <t>How to Use?</t>
    </r>
    <r>
      <rPr>
        <sz val="11"/>
        <color theme="1"/>
        <rFont val="Calibri"/>
        <family val="2"/>
        <scheme val="minor"/>
      </rPr>
      <t xml:space="preserve">
- Enter data in the "Data Input" sheet. Please refer to "Example Data" sheet for guidance to fill the data.
- Please add rows in "Data Input" sheet if required. To do so, please right click inside the table and click "Add Rows Above" or "Add Rows Below" whichever is applicable.
- Blue tab sheets show results of calculations.
- All Red labelled fields with white colored cells are data entry fields
- All blue labelled fields with Grey colored cells are Calculation and Output Fields.
- Please do not try to temper with any calculation cells as this will alter the results. Please contact PEECA or the developers for any alteration or change requests.</t>
    </r>
  </si>
  <si>
    <r>
      <rPr>
        <b/>
        <sz val="11"/>
        <color theme="1"/>
        <rFont val="Calibri"/>
        <family val="2"/>
        <scheme val="minor"/>
      </rPr>
      <t>References:</t>
    </r>
    <r>
      <rPr>
        <sz val="11"/>
        <color theme="1"/>
        <rFont val="Calibri"/>
        <family val="2"/>
        <scheme val="minor"/>
      </rPr>
      <t xml:space="preserve">
- Compressed Air Best Practice Tool; Sustainable Energy Authority of Ireland (seai)
- Compressed Air Systems in the European Union, EU 2001
- International Energy Agency (IEA)
- Energy Markets International Limited
- ISO 11011 Compressed air – Energy Efficiency – Assessment
- Energy Efficiency Guide for Industry in Asia – www.energyefficiencyasia.org
- US Department of Energy  – www.eere.energy.gov/industry</t>
    </r>
  </si>
  <si>
    <r>
      <rPr>
        <b/>
        <sz val="11"/>
        <color theme="1"/>
        <rFont val="Calibri"/>
        <family val="2"/>
        <scheme val="minor"/>
      </rPr>
      <t xml:space="preserve">Disclaimer:
</t>
    </r>
    <r>
      <rPr>
        <sz val="11"/>
        <color theme="1"/>
        <rFont val="Calibri"/>
        <family val="2"/>
        <scheme val="minor"/>
      </rPr>
      <t>The information, calculations and conclusions in this tool are based on the sources as mentioned above. The tool has been field tested, however, qualified engineers must be consulted before makinng any decision based on these calculations. PEECA, Government of Punjab or the Developers accept no liability whatsoever to any person, company or entity for any injury, loss or damage that may arise in connection with any misuse or reliance on the information.
The tool is provided as a freeware. Users may make copies and distribute the tool without making any changes.</t>
    </r>
  </si>
  <si>
    <r>
      <rPr>
        <b/>
        <sz val="11"/>
        <color theme="1"/>
        <rFont val="Calibri"/>
        <family val="2"/>
        <scheme val="minor"/>
      </rPr>
      <t>Version Information:</t>
    </r>
    <r>
      <rPr>
        <sz val="11"/>
        <color theme="1"/>
        <rFont val="Calibri"/>
        <family val="2"/>
        <scheme val="minor"/>
      </rPr>
      <t xml:space="preserve">
Version No. V01_170411
Previous Version: N/A</t>
    </r>
  </si>
  <si>
    <r>
      <rPr>
        <b/>
        <sz val="11"/>
        <color theme="1"/>
        <rFont val="Calibri"/>
        <family val="2"/>
        <scheme val="minor"/>
      </rPr>
      <t>Managing Director</t>
    </r>
    <r>
      <rPr>
        <sz val="11"/>
        <color theme="1"/>
        <rFont val="Calibri"/>
        <family val="2"/>
        <scheme val="minor"/>
      </rPr>
      <t xml:space="preserve">
Punjab Energy Efficiency and Conservation Agency (PEECA)
Energy Department, Government of the Punjab
</t>
    </r>
    <r>
      <rPr>
        <u/>
        <sz val="11"/>
        <color theme="3"/>
        <rFont val="Calibri"/>
        <family val="2"/>
        <scheme val="minor"/>
      </rPr>
      <t>md.peeca@energy.punjab.gov.pk</t>
    </r>
    <r>
      <rPr>
        <sz val="11"/>
        <color theme="1"/>
        <rFont val="Calibri"/>
        <family val="2"/>
        <scheme val="minor"/>
      </rPr>
      <t xml:space="preserve">
48-A, Block C-II, Ghalib Road, Gulberg-III, Lahore
Pakistan</t>
    </r>
  </si>
  <si>
    <t>Compressors Energy Efficiency Self-Assessment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</si>
</sst>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_-;\-* #,##0.00_-;_-* &quot;-&quot;??_-;_-@_-"/>
    <numFmt numFmtId="164" formatCode="&quot;$&quot;#,##0_);[Red]\(&quot;$&quot;#,##0\)"/>
    <numFmt numFmtId="165" formatCode="_(&quot;$&quot;* #,##0.00_);_(&quot;$&quot;* \(#,##0.00\);_(&quot;$&quot;* &quot;-&quot;??_);_(@_)"/>
    <numFmt numFmtId="166" formatCode="_(* #,##0.00_);_(* \(#,##0.00\);_(* &quot;-&quot;??_);_(@_)"/>
    <numFmt numFmtId="167" formatCode="#,##0&quot; therms&quot;"/>
    <numFmt numFmtId="168" formatCode="#,##0&quot; kBtuh&quot;"/>
    <numFmt numFmtId="169" formatCode="#,##0&quot; kWh&quot;"/>
    <numFmt numFmtId="170" formatCode="#,##0&quot;W   &quot;"/>
    <numFmt numFmtId="171" formatCode="&quot;Equipment &quot;0.0&quot; W/sqft Typical&quot;"/>
    <numFmt numFmtId="172" formatCode="0.0000000000"/>
    <numFmt numFmtId="173" formatCode="0.00_)"/>
    <numFmt numFmtId="174" formatCode="#,##0\V"/>
    <numFmt numFmtId="175" formatCode="#,##0&quot; rpm&quot;"/>
    <numFmt numFmtId="176" formatCode="0&quot; gal&quot;"/>
    <numFmt numFmtId="177" formatCode="&quot;$&quot;#,##0_)&quot;   &quot;;\(&quot;$&quot;#,##0\)&quot;   &quot;"/>
    <numFmt numFmtId="178" formatCode="#,##0&quot; tons&quot;"/>
    <numFmt numFmtId="179" formatCode="#,##0&quot; kW&quot;"/>
    <numFmt numFmtId="180" formatCode="General&quot; hp&quot;"/>
    <numFmt numFmtId="181" formatCode="#,##0.00&quot; $&quot;;\-#,##0.00&quot; $&quot;"/>
    <numFmt numFmtId="182" formatCode="_-* #,##0.0_-;\-* #,##0.0_-;_-* &quot;-&quot;??_-;_-@_-"/>
    <numFmt numFmtId="183" formatCode="_(* #,##0.0_);_(* \-#,##0.0_);_(* &quot;-&quot;??_);_(@_)"/>
    <numFmt numFmtId="184" formatCode="0.0%"/>
    <numFmt numFmtId="185" formatCode="0.0"/>
    <numFmt numFmtId="186" formatCode="_-* #,##0_-;\-* #,##0_-;_-* &quot;-&quot;??_-;_-@_-"/>
  </numFmts>
  <fonts count="20">
    <font>
      <sz val="11"/>
      <color theme="1"/>
      <name val="Calibri"/>
      <family val="2"/>
      <scheme val="minor"/>
    </font>
    <font>
      <sz val="11"/>
      <color theme="1"/>
      <name val="Calibri"/>
      <family val="2"/>
      <scheme val="minor"/>
    </font>
    <font>
      <sz val="10"/>
      <name val="Helv"/>
    </font>
    <font>
      <sz val="10"/>
      <name val="Arial"/>
      <family val="2"/>
    </font>
    <font>
      <sz val="10"/>
      <color indexed="12"/>
      <name val="Arial"/>
      <family val="2"/>
    </font>
    <font>
      <sz val="8"/>
      <name val="Arial"/>
      <family val="2"/>
    </font>
    <font>
      <b/>
      <i/>
      <sz val="12"/>
      <name val="Arial"/>
      <family val="2"/>
    </font>
    <font>
      <sz val="10"/>
      <name val="Geneva"/>
      <family val="2"/>
    </font>
    <font>
      <sz val="11"/>
      <name val="??"/>
      <family val="3"/>
      <charset val="129"/>
    </font>
    <font>
      <b/>
      <u/>
      <sz val="11"/>
      <color indexed="37"/>
      <name val="Arial"/>
      <family val="2"/>
    </font>
    <font>
      <sz val="7"/>
      <name val="Small Fonts"/>
      <family val="2"/>
    </font>
    <font>
      <b/>
      <i/>
      <sz val="16"/>
      <name val="Helv"/>
    </font>
    <font>
      <sz val="8"/>
      <color indexed="12"/>
      <name val="Arial"/>
      <family val="2"/>
    </font>
    <font>
      <b/>
      <sz val="10"/>
      <color theme="0"/>
      <name val="Arial"/>
      <family val="2"/>
    </font>
    <font>
      <b/>
      <sz val="11"/>
      <color theme="0"/>
      <name val="Calibri"/>
      <family val="2"/>
      <scheme val="minor"/>
    </font>
    <font>
      <sz val="11"/>
      <color theme="1"/>
      <name val="Calibri"/>
      <family val="2"/>
    </font>
    <font>
      <b/>
      <sz val="11"/>
      <color theme="1"/>
      <name val="Calibri"/>
      <family val="2"/>
      <scheme val="minor"/>
    </font>
    <font>
      <b/>
      <sz val="16"/>
      <color theme="0"/>
      <name val="Calibri"/>
      <family val="2"/>
      <scheme val="minor"/>
    </font>
    <font>
      <u/>
      <sz val="11"/>
      <color theme="3"/>
      <name val="Calibri"/>
      <family val="2"/>
      <scheme val="minor"/>
    </font>
    <font>
      <sz val="11"/>
      <color theme="5" tint="-0.249977111117893"/>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theme="7"/>
        <bgColor indexed="64"/>
      </patternFill>
    </fill>
    <fill>
      <patternFill patternType="solid">
        <fgColor rgb="FFC7C8C9"/>
        <bgColor indexed="64"/>
      </patternFill>
    </fill>
    <fill>
      <patternFill patternType="solid">
        <fgColor theme="4" tint="-0.249977111117893"/>
        <bgColor indexed="64"/>
      </patternFill>
    </fill>
    <fill>
      <patternFill patternType="solid">
        <fgColor theme="0"/>
        <bgColor indexed="64"/>
      </patternFill>
    </fill>
    <fill>
      <patternFill patternType="solid">
        <fgColor theme="5"/>
        <bgColor indexed="64"/>
      </patternFill>
    </fill>
    <fill>
      <patternFill patternType="solid">
        <fgColor rgb="FF464749"/>
        <bgColor indexed="64"/>
      </patternFill>
    </fill>
    <fill>
      <patternFill patternType="solid">
        <fgColor theme="5"/>
        <bgColor theme="5"/>
      </patternFill>
    </fill>
    <fill>
      <patternFill patternType="solid">
        <fgColor theme="5" tint="-0.249977111117893"/>
        <bgColor indexed="64"/>
      </patternFill>
    </fill>
    <fill>
      <patternFill patternType="solid">
        <fgColor rgb="FFC7C9CB"/>
        <bgColor indexed="64"/>
      </patternFill>
    </fill>
  </fills>
  <borders count="20">
    <border>
      <left/>
      <right/>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hair">
        <color indexed="64"/>
      </bottom>
      <diagonal/>
    </border>
    <border>
      <left/>
      <right/>
      <top/>
      <bottom style="thin">
        <color indexed="64"/>
      </bottom>
      <diagonal/>
    </border>
    <border>
      <left/>
      <right/>
      <top style="thin">
        <color indexed="64"/>
      </top>
      <bottom style="double">
        <color indexed="64"/>
      </bottom>
      <diagonal/>
    </border>
    <border>
      <left style="thin">
        <color theme="4"/>
      </left>
      <right/>
      <top/>
      <bottom/>
      <diagonal/>
    </border>
    <border>
      <left style="thin">
        <color indexed="64"/>
      </left>
      <right/>
      <top style="thin">
        <color indexed="64"/>
      </top>
      <bottom style="double">
        <color indexed="64"/>
      </bottom>
      <diagonal/>
    </border>
    <border>
      <left style="thin">
        <color theme="4"/>
      </left>
      <right style="thin">
        <color theme="4"/>
      </right>
      <top style="thin">
        <color theme="4"/>
      </top>
      <bottom style="thin">
        <color theme="4"/>
      </bottom>
      <diagonal/>
    </border>
    <border>
      <left style="thin">
        <color theme="5"/>
      </left>
      <right style="thin">
        <color theme="5"/>
      </right>
      <top style="thin">
        <color theme="5"/>
      </top>
      <bottom style="thin">
        <color theme="5"/>
      </bottom>
      <diagonal/>
    </border>
    <border>
      <left/>
      <right/>
      <top style="thin">
        <color theme="5"/>
      </top>
      <bottom/>
      <diagonal/>
    </border>
    <border>
      <left style="thin">
        <color theme="5"/>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bottom style="thin">
        <color theme="5"/>
      </bottom>
      <diagonal/>
    </border>
    <border>
      <left/>
      <right/>
      <top/>
      <bottom style="thin">
        <color theme="5"/>
      </bottom>
      <diagonal/>
    </border>
    <border>
      <left/>
      <right/>
      <top style="thin">
        <color theme="5"/>
      </top>
      <bottom style="thin">
        <color theme="5"/>
      </bottom>
      <diagonal/>
    </border>
  </borders>
  <cellStyleXfs count="42">
    <xf numFmtId="0" fontId="0" fillId="0" borderId="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172" fontId="7" fillId="4" borderId="5">
      <alignment horizontal="center" vertical="center"/>
    </xf>
    <xf numFmtId="177"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4" fontId="8" fillId="0" borderId="0">
      <protection locked="0"/>
    </xf>
    <xf numFmtId="183" fontId="3" fillId="0" borderId="2" applyBorder="0" applyAlignment="0">
      <alignment vertical="center"/>
    </xf>
    <xf numFmtId="171" fontId="3" fillId="0" borderId="0" applyFont="0" applyFill="0" applyBorder="0" applyAlignment="0" applyProtection="0">
      <alignment horizontal="left"/>
    </xf>
    <xf numFmtId="182" fontId="3" fillId="0" borderId="0">
      <protection locked="0"/>
    </xf>
    <xf numFmtId="176" fontId="3" fillId="0" borderId="0" applyFont="0" applyFill="0" applyBorder="0" applyAlignment="0" applyProtection="0">
      <alignment horizontal="right"/>
    </xf>
    <xf numFmtId="38" fontId="5" fillId="2" borderId="0" applyNumberFormat="0" applyBorder="0" applyAlignment="0" applyProtection="0"/>
    <xf numFmtId="0" fontId="9" fillId="0" borderId="0" applyNumberFormat="0" applyFill="0" applyBorder="0" applyAlignment="0" applyProtection="0"/>
    <xf numFmtId="181" fontId="3" fillId="0" borderId="0">
      <protection locked="0"/>
    </xf>
    <xf numFmtId="181" fontId="3" fillId="0" borderId="0">
      <protection locked="0"/>
    </xf>
    <xf numFmtId="0" fontId="4" fillId="0" borderId="1" applyNumberFormat="0" applyFill="0" applyAlignment="0" applyProtection="0"/>
    <xf numFmtId="180" fontId="3" fillId="0" borderId="6">
      <alignment horizontal="center"/>
    </xf>
    <xf numFmtId="10" fontId="5" fillId="3" borderId="3" applyNumberFormat="0" applyBorder="0" applyAlignment="0" applyProtection="0"/>
    <xf numFmtId="168" fontId="3" fillId="0" borderId="0" applyFont="0" applyFill="0" applyBorder="0" applyAlignment="0" applyProtection="0">
      <alignment horizontal="right"/>
    </xf>
    <xf numFmtId="179" fontId="6" fillId="0" borderId="0" applyFont="0" applyFill="0" applyBorder="0" applyAlignment="0" applyProtection="0">
      <alignment horizontal="right"/>
    </xf>
    <xf numFmtId="169" fontId="3" fillId="0" borderId="0" applyFont="0" applyFill="0" applyBorder="0" applyAlignment="0" applyProtection="0">
      <alignment horizontal="right"/>
    </xf>
    <xf numFmtId="37" fontId="10" fillId="0" borderId="0"/>
    <xf numFmtId="173" fontId="11" fillId="0" borderId="0"/>
    <xf numFmtId="9" fontId="3" fillId="0" borderId="0" applyFont="0" applyFill="0" applyBorder="0" applyAlignment="0" applyProtection="0"/>
    <xf numFmtId="10" fontId="3" fillId="0" borderId="0" applyFont="0" applyFill="0" applyBorder="0" applyAlignment="0" applyProtection="0"/>
    <xf numFmtId="175" fontId="3" fillId="0" borderId="0" applyFont="0" applyFill="0" applyBorder="0" applyAlignment="0" applyProtection="0">
      <alignment horizontal="right"/>
    </xf>
    <xf numFmtId="167" fontId="6" fillId="0" borderId="0" applyFont="0" applyBorder="0" applyAlignment="0">
      <alignment horizontal="center"/>
    </xf>
    <xf numFmtId="178" fontId="3" fillId="0" borderId="0" applyFont="0" applyFill="0" applyBorder="0" applyAlignment="0" applyProtection="0">
      <alignment horizontal="right"/>
    </xf>
    <xf numFmtId="181" fontId="3" fillId="0" borderId="7">
      <protection locked="0"/>
    </xf>
    <xf numFmtId="37" fontId="5" fillId="5" borderId="0" applyNumberFormat="0" applyBorder="0" applyAlignment="0" applyProtection="0"/>
    <xf numFmtId="37" fontId="5" fillId="0" borderId="0"/>
    <xf numFmtId="3" fontId="12" fillId="0" borderId="1" applyProtection="0"/>
    <xf numFmtId="174" fontId="3" fillId="0" borderId="0" applyFont="0" applyFill="0" applyBorder="0" applyAlignment="0" applyProtection="0">
      <alignment horizontal="right"/>
    </xf>
    <xf numFmtId="170" fontId="3" fillId="0" borderId="0" applyFont="0" applyFill="0" applyBorder="0" applyAlignment="0" applyProtection="0">
      <alignment horizontal="right"/>
    </xf>
    <xf numFmtId="0" fontId="3"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101">
    <xf numFmtId="0" fontId="0" fillId="0" borderId="0" xfId="0"/>
    <xf numFmtId="0" fontId="0" fillId="0" borderId="0" xfId="0" applyAlignment="1">
      <alignment wrapText="1"/>
    </xf>
    <xf numFmtId="0" fontId="0" fillId="8" borderId="0" xfId="0" applyFill="1" applyAlignment="1">
      <alignment wrapText="1"/>
    </xf>
    <xf numFmtId="0" fontId="0" fillId="9" borderId="0" xfId="0" applyFill="1"/>
    <xf numFmtId="0" fontId="0" fillId="9" borderId="0" xfId="0" applyFill="1" applyBorder="1"/>
    <xf numFmtId="0" fontId="14" fillId="9" borderId="0" xfId="0" applyFont="1" applyFill="1" applyBorder="1" applyAlignment="1">
      <alignment wrapText="1"/>
    </xf>
    <xf numFmtId="0" fontId="17" fillId="9" borderId="0" xfId="0" applyFont="1" applyFill="1" applyBorder="1" applyAlignment="1"/>
    <xf numFmtId="0" fontId="13" fillId="6" borderId="9" xfId="0" applyFont="1" applyFill="1" applyBorder="1" applyAlignment="1">
      <alignment horizontal="center"/>
    </xf>
    <xf numFmtId="0" fontId="13" fillId="6" borderId="4" xfId="0" applyFont="1" applyFill="1" applyBorder="1" applyAlignment="1"/>
    <xf numFmtId="0" fontId="13" fillId="9" borderId="0" xfId="0" applyFont="1" applyFill="1" applyBorder="1" applyAlignment="1"/>
    <xf numFmtId="0" fontId="17" fillId="9" borderId="0" xfId="0" applyFont="1" applyFill="1" applyBorder="1" applyAlignment="1">
      <alignment horizontal="center" vertical="center"/>
    </xf>
    <xf numFmtId="0" fontId="19" fillId="13" borderId="0" xfId="0" applyFont="1" applyFill="1" applyAlignment="1" applyProtection="1">
      <alignment wrapText="1"/>
    </xf>
    <xf numFmtId="0" fontId="0" fillId="7" borderId="10" xfId="0" applyFill="1" applyBorder="1"/>
    <xf numFmtId="0" fontId="14" fillId="8" borderId="10" xfId="0" applyFont="1" applyFill="1" applyBorder="1"/>
    <xf numFmtId="1" fontId="0" fillId="9" borderId="0" xfId="0" applyNumberFormat="1" applyFill="1" applyAlignment="1">
      <alignment horizontal="center" vertical="center"/>
    </xf>
    <xf numFmtId="0" fontId="17" fillId="11" borderId="0" xfId="0" applyFont="1" applyFill="1" applyBorder="1" applyAlignment="1">
      <alignment horizontal="center"/>
    </xf>
    <xf numFmtId="0" fontId="14" fillId="8" borderId="14" xfId="0" applyFont="1" applyFill="1" applyBorder="1" applyAlignment="1">
      <alignment horizontal="center"/>
    </xf>
    <xf numFmtId="0" fontId="14" fillId="8" borderId="15" xfId="0" applyFont="1" applyFill="1" applyBorder="1" applyAlignment="1">
      <alignment horizontal="center"/>
    </xf>
    <xf numFmtId="0" fontId="14" fillId="8" borderId="16" xfId="0" applyFont="1" applyFill="1" applyBorder="1" applyAlignment="1">
      <alignment horizontal="center"/>
    </xf>
    <xf numFmtId="0" fontId="14" fillId="8" borderId="8" xfId="0" applyFont="1" applyFill="1" applyBorder="1" applyAlignment="1">
      <alignment horizontal="center" vertical="center"/>
    </xf>
    <xf numFmtId="0" fontId="14" fillId="8" borderId="0" xfId="0" applyFont="1" applyFill="1" applyBorder="1" applyAlignment="1">
      <alignment horizontal="center" vertical="center"/>
    </xf>
    <xf numFmtId="0" fontId="17" fillId="8" borderId="0" xfId="0" applyFont="1" applyFill="1" applyBorder="1" applyAlignment="1">
      <alignment horizontal="center" vertical="center"/>
    </xf>
    <xf numFmtId="0" fontId="14" fillId="12" borderId="13" xfId="0" applyFont="1" applyFill="1" applyBorder="1" applyAlignment="1">
      <alignment horizontal="left" wrapText="1"/>
    </xf>
    <xf numFmtId="0" fontId="14" fillId="12" borderId="0" xfId="0" applyFont="1" applyFill="1" applyBorder="1" applyAlignment="1">
      <alignment horizontal="left" wrapText="1"/>
    </xf>
    <xf numFmtId="0" fontId="14" fillId="8" borderId="12" xfId="0" applyFont="1" applyFill="1" applyBorder="1" applyAlignment="1">
      <alignment horizontal="left" wrapText="1"/>
    </xf>
    <xf numFmtId="0" fontId="14" fillId="12" borderId="17" xfId="0" applyFont="1" applyFill="1" applyBorder="1" applyAlignment="1">
      <alignment horizontal="left" wrapText="1"/>
    </xf>
    <xf numFmtId="0" fontId="14" fillId="12" borderId="18" xfId="0" applyFont="1" applyFill="1" applyBorder="1" applyAlignment="1">
      <alignment horizontal="left" wrapText="1"/>
    </xf>
    <xf numFmtId="0" fontId="14" fillId="8" borderId="19" xfId="0" applyFont="1" applyFill="1" applyBorder="1" applyAlignment="1">
      <alignment horizontal="left" wrapText="1"/>
    </xf>
    <xf numFmtId="0" fontId="14" fillId="8" borderId="10" xfId="0" applyFont="1" applyFill="1" applyBorder="1" applyAlignment="1">
      <alignment horizontal="left" indent="3"/>
    </xf>
    <xf numFmtId="0" fontId="0" fillId="9" borderId="0" xfId="0" applyFill="1" applyAlignment="1">
      <alignment wrapText="1"/>
    </xf>
    <xf numFmtId="0" fontId="0" fillId="9" borderId="0" xfId="0" applyFill="1" applyAlignment="1" applyProtection="1">
      <alignment wrapText="1"/>
    </xf>
    <xf numFmtId="0" fontId="0" fillId="9" borderId="0" xfId="0" applyFill="1" applyBorder="1" applyAlignment="1">
      <alignment wrapText="1"/>
    </xf>
    <xf numFmtId="0" fontId="17" fillId="10" borderId="0" xfId="0" applyFont="1" applyFill="1" applyBorder="1" applyAlignment="1">
      <alignment horizontal="center" vertical="center" wrapText="1"/>
    </xf>
    <xf numFmtId="0" fontId="0" fillId="9" borderId="0" xfId="0" applyFill="1" applyBorder="1" applyAlignment="1" applyProtection="1">
      <alignment wrapText="1"/>
    </xf>
    <xf numFmtId="0" fontId="17" fillId="9" borderId="0" xfId="0" applyFont="1" applyFill="1" applyBorder="1" applyAlignment="1">
      <alignment horizontal="center" vertical="center" wrapText="1"/>
    </xf>
    <xf numFmtId="2" fontId="0" fillId="0" borderId="11" xfId="0" applyNumberFormat="1" applyFont="1" applyBorder="1" applyAlignment="1" applyProtection="1">
      <alignment wrapText="1"/>
      <protection locked="0"/>
    </xf>
    <xf numFmtId="0" fontId="0" fillId="7" borderId="11" xfId="0" applyFont="1" applyFill="1" applyBorder="1" applyAlignment="1">
      <alignment wrapText="1"/>
    </xf>
    <xf numFmtId="0" fontId="0" fillId="9" borderId="0" xfId="0" applyFont="1" applyFill="1" applyBorder="1" applyAlignment="1">
      <alignment wrapText="1"/>
    </xf>
    <xf numFmtId="43" fontId="0" fillId="14" borderId="11" xfId="41" applyFont="1" applyFill="1" applyBorder="1" applyAlignment="1" applyProtection="1">
      <alignment wrapText="1"/>
    </xf>
    <xf numFmtId="0" fontId="14" fillId="13" borderId="0" xfId="0" applyFont="1" applyFill="1" applyAlignment="1">
      <alignment horizontal="center" wrapText="1"/>
    </xf>
    <xf numFmtId="0" fontId="0" fillId="7" borderId="0" xfId="0" applyFill="1" applyAlignment="1" applyProtection="1">
      <alignment wrapText="1"/>
      <protection hidden="1"/>
    </xf>
    <xf numFmtId="0" fontId="0" fillId="0" borderId="0" xfId="0" applyAlignment="1" applyProtection="1">
      <alignment horizontal="left" wrapText="1"/>
      <protection locked="0"/>
    </xf>
    <xf numFmtId="0" fontId="0" fillId="0" borderId="0" xfId="0" applyAlignment="1" applyProtection="1">
      <alignment horizontal="right" wrapText="1"/>
      <protection locked="0"/>
    </xf>
    <xf numFmtId="10" fontId="0" fillId="0" borderId="0" xfId="1" applyNumberFormat="1" applyFont="1" applyAlignment="1" applyProtection="1">
      <alignment horizontal="right" wrapText="1"/>
      <protection locked="0"/>
    </xf>
    <xf numFmtId="9" fontId="0" fillId="7" borderId="0" xfId="1" applyFont="1" applyFill="1" applyAlignment="1" applyProtection="1">
      <alignment horizontal="right" wrapText="1"/>
    </xf>
    <xf numFmtId="0" fontId="0" fillId="13" borderId="0" xfId="0" applyFill="1" applyAlignment="1" applyProtection="1">
      <alignment horizontal="right" wrapText="1"/>
    </xf>
    <xf numFmtId="0" fontId="0" fillId="13" borderId="0" xfId="0" applyFill="1" applyAlignment="1" applyProtection="1">
      <alignment wrapText="1"/>
    </xf>
    <xf numFmtId="9" fontId="0" fillId="0" borderId="0" xfId="1" applyFont="1" applyAlignment="1" applyProtection="1">
      <alignment horizontal="right" wrapText="1"/>
      <protection locked="0"/>
    </xf>
    <xf numFmtId="0" fontId="0" fillId="7" borderId="0" xfId="0" applyNumberFormat="1" applyFill="1" applyAlignment="1" applyProtection="1">
      <alignment wrapText="1"/>
      <protection hidden="1"/>
    </xf>
    <xf numFmtId="0" fontId="0" fillId="7" borderId="0" xfId="0" applyFill="1" applyAlignment="1">
      <alignment wrapText="1"/>
    </xf>
    <xf numFmtId="0" fontId="0" fillId="7" borderId="0" xfId="0" applyFill="1" applyAlignment="1">
      <alignment horizontal="right" wrapText="1"/>
    </xf>
    <xf numFmtId="184" fontId="0" fillId="7" borderId="0" xfId="0" applyNumberFormat="1" applyFill="1" applyAlignment="1">
      <alignment horizontal="right" wrapText="1"/>
    </xf>
    <xf numFmtId="2" fontId="0" fillId="7" borderId="0" xfId="0" applyNumberFormat="1" applyFill="1" applyAlignment="1">
      <alignment horizontal="right" wrapText="1"/>
    </xf>
    <xf numFmtId="9" fontId="0" fillId="7" borderId="0" xfId="0" applyNumberFormat="1" applyFill="1" applyAlignment="1">
      <alignment horizontal="right" wrapText="1"/>
    </xf>
    <xf numFmtId="0" fontId="0" fillId="0" borderId="0" xfId="0" applyAlignment="1" applyProtection="1">
      <alignment wrapText="1"/>
    </xf>
    <xf numFmtId="9" fontId="0" fillId="7" borderId="0" xfId="1" applyFont="1" applyFill="1" applyAlignment="1" applyProtection="1">
      <alignment wrapText="1"/>
    </xf>
    <xf numFmtId="43" fontId="0" fillId="7" borderId="0" xfId="1" applyNumberFormat="1" applyFont="1" applyFill="1" applyAlignment="1" applyProtection="1">
      <alignment horizontal="right" shrinkToFit="1"/>
    </xf>
    <xf numFmtId="43" fontId="0" fillId="7" borderId="0" xfId="0" applyNumberFormat="1" applyFill="1" applyAlignment="1">
      <alignment horizontal="right" shrinkToFit="1"/>
    </xf>
    <xf numFmtId="43" fontId="0" fillId="14" borderId="0" xfId="0" applyNumberFormat="1" applyFill="1" applyAlignment="1">
      <alignment horizontal="right" shrinkToFit="1"/>
    </xf>
    <xf numFmtId="3" fontId="0" fillId="7" borderId="0" xfId="0" applyNumberFormat="1" applyFill="1" applyAlignment="1" applyProtection="1">
      <alignment horizontal="right" shrinkToFit="1"/>
    </xf>
    <xf numFmtId="4" fontId="0" fillId="7" borderId="0" xfId="0" applyNumberFormat="1" applyFill="1" applyAlignment="1" applyProtection="1">
      <alignment horizontal="right" shrinkToFit="1"/>
    </xf>
    <xf numFmtId="2" fontId="0" fillId="9" borderId="0" xfId="0" applyNumberFormat="1" applyFill="1" applyAlignment="1" applyProtection="1">
      <alignment horizontal="right" shrinkToFit="1"/>
      <protection locked="0"/>
    </xf>
    <xf numFmtId="3" fontId="0" fillId="7" borderId="0" xfId="1" applyNumberFormat="1" applyFont="1" applyFill="1" applyAlignment="1" applyProtection="1">
      <alignment horizontal="right" shrinkToFit="1"/>
    </xf>
    <xf numFmtId="4" fontId="0" fillId="7" borderId="0" xfId="1" applyNumberFormat="1" applyFont="1" applyFill="1" applyAlignment="1" applyProtection="1">
      <alignment horizontal="right" shrinkToFit="1"/>
    </xf>
    <xf numFmtId="2" fontId="0" fillId="7" borderId="0" xfId="0" applyNumberFormat="1" applyFont="1" applyFill="1" applyAlignment="1" applyProtection="1">
      <alignment horizontal="right" shrinkToFit="1"/>
    </xf>
    <xf numFmtId="2" fontId="0" fillId="7" borderId="0" xfId="0" applyNumberFormat="1" applyFont="1" applyFill="1" applyAlignment="1">
      <alignment horizontal="right" shrinkToFit="1"/>
    </xf>
    <xf numFmtId="43" fontId="0" fillId="7" borderId="0" xfId="1" applyNumberFormat="1" applyFont="1" applyFill="1" applyAlignment="1" applyProtection="1">
      <alignment shrinkToFit="1"/>
    </xf>
    <xf numFmtId="3" fontId="0" fillId="7" borderId="0" xfId="0" applyNumberFormat="1" applyFill="1" applyAlignment="1" applyProtection="1">
      <alignment shrinkToFit="1"/>
    </xf>
    <xf numFmtId="4" fontId="0" fillId="7" borderId="0" xfId="0" applyNumberFormat="1" applyFill="1" applyAlignment="1" applyProtection="1">
      <alignment shrinkToFit="1"/>
    </xf>
    <xf numFmtId="2" fontId="0" fillId="7" borderId="0" xfId="0" applyNumberFormat="1" applyFont="1" applyFill="1" applyAlignment="1" applyProtection="1">
      <alignment shrinkToFit="1"/>
    </xf>
    <xf numFmtId="186" fontId="0" fillId="7" borderId="10" xfId="41" applyNumberFormat="1" applyFont="1" applyFill="1" applyBorder="1" applyAlignment="1">
      <alignment shrinkToFit="1"/>
    </xf>
    <xf numFmtId="186" fontId="0" fillId="7" borderId="0" xfId="41" applyNumberFormat="1" applyFont="1" applyFill="1" applyBorder="1" applyAlignment="1">
      <alignment shrinkToFit="1"/>
    </xf>
    <xf numFmtId="0" fontId="0" fillId="7" borderId="10" xfId="0" applyFill="1" applyBorder="1" applyAlignment="1">
      <alignment shrinkToFit="1"/>
    </xf>
    <xf numFmtId="185" fontId="0" fillId="7" borderId="10" xfId="0" applyNumberFormat="1" applyFill="1" applyBorder="1" applyAlignment="1">
      <alignment shrinkToFit="1"/>
    </xf>
    <xf numFmtId="1" fontId="0" fillId="7" borderId="10" xfId="0" applyNumberFormat="1" applyFill="1" applyBorder="1" applyAlignment="1">
      <alignment shrinkToFit="1"/>
    </xf>
    <xf numFmtId="184" fontId="0" fillId="7" borderId="10" xfId="1" applyNumberFormat="1" applyFont="1" applyFill="1" applyBorder="1" applyAlignment="1">
      <alignment shrinkToFit="1"/>
    </xf>
    <xf numFmtId="0" fontId="17" fillId="11" borderId="0" xfId="0" applyFont="1" applyFill="1" applyBorder="1" applyAlignment="1" applyProtection="1">
      <alignment horizontal="center" vertical="center" wrapText="1"/>
    </xf>
    <xf numFmtId="0" fontId="14" fillId="9" borderId="0" xfId="0" applyFont="1" applyFill="1" applyBorder="1" applyAlignment="1" applyProtection="1">
      <alignment wrapText="1"/>
    </xf>
    <xf numFmtId="0" fontId="17" fillId="9" borderId="0" xfId="0" applyFont="1" applyFill="1" applyBorder="1" applyAlignment="1" applyProtection="1">
      <alignment horizontal="center" vertical="center" wrapText="1"/>
    </xf>
    <xf numFmtId="0" fontId="14" fillId="12" borderId="13" xfId="0" applyFont="1" applyFill="1" applyBorder="1" applyAlignment="1" applyProtection="1">
      <alignment horizontal="left" wrapText="1"/>
    </xf>
    <xf numFmtId="0" fontId="14" fillId="12" borderId="0" xfId="0" applyFont="1" applyFill="1" applyBorder="1" applyAlignment="1" applyProtection="1">
      <alignment horizontal="left" wrapText="1"/>
    </xf>
    <xf numFmtId="2" fontId="0" fillId="0" borderId="11" xfId="0" applyNumberFormat="1" applyFont="1" applyBorder="1" applyAlignment="1" applyProtection="1">
      <alignment wrapText="1"/>
    </xf>
    <xf numFmtId="0" fontId="0" fillId="7" borderId="11" xfId="0" applyFont="1" applyFill="1" applyBorder="1" applyAlignment="1" applyProtection="1">
      <alignment wrapText="1"/>
    </xf>
    <xf numFmtId="0" fontId="0" fillId="9" borderId="0" xfId="0" applyFont="1" applyFill="1" applyBorder="1" applyAlignment="1" applyProtection="1">
      <alignment wrapText="1"/>
    </xf>
    <xf numFmtId="0" fontId="14" fillId="12" borderId="17" xfId="0" applyFont="1" applyFill="1" applyBorder="1" applyAlignment="1" applyProtection="1">
      <alignment horizontal="left" wrapText="1"/>
    </xf>
    <xf numFmtId="0" fontId="14" fillId="12" borderId="18" xfId="0" applyFont="1" applyFill="1" applyBorder="1" applyAlignment="1" applyProtection="1">
      <alignment horizontal="left" wrapText="1"/>
    </xf>
    <xf numFmtId="0" fontId="14" fillId="8" borderId="19" xfId="0" applyFont="1" applyFill="1" applyBorder="1" applyAlignment="1" applyProtection="1">
      <alignment horizontal="left" wrapText="1"/>
    </xf>
    <xf numFmtId="0" fontId="14" fillId="8" borderId="12" xfId="0" applyFont="1" applyFill="1" applyBorder="1" applyAlignment="1" applyProtection="1">
      <alignment horizontal="left" wrapText="1"/>
    </xf>
    <xf numFmtId="0" fontId="14" fillId="13" borderId="0" xfId="0" applyFont="1" applyFill="1" applyAlignment="1" applyProtection="1">
      <alignment horizontal="center" wrapText="1"/>
    </xf>
    <xf numFmtId="0" fontId="0" fillId="8" borderId="0" xfId="0" applyFill="1" applyAlignment="1" applyProtection="1">
      <alignment wrapText="1"/>
    </xf>
    <xf numFmtId="10" fontId="0" fillId="0" borderId="0" xfId="1" applyNumberFormat="1" applyFont="1" applyAlignment="1" applyProtection="1">
      <alignment wrapText="1"/>
    </xf>
    <xf numFmtId="2" fontId="0" fillId="9" borderId="0" xfId="0" applyNumberFormat="1" applyFill="1" applyAlignment="1" applyProtection="1">
      <alignment shrinkToFit="1"/>
    </xf>
    <xf numFmtId="9" fontId="0" fillId="0" borderId="0" xfId="1" applyFont="1" applyAlignment="1" applyProtection="1">
      <alignment wrapText="1"/>
    </xf>
    <xf numFmtId="0" fontId="0" fillId="7" borderId="0" xfId="0" applyFill="1" applyAlignment="1" applyProtection="1">
      <alignment wrapText="1"/>
    </xf>
    <xf numFmtId="184" fontId="0" fillId="7" borderId="0" xfId="0" applyNumberFormat="1" applyFill="1" applyAlignment="1" applyProtection="1">
      <alignment wrapText="1"/>
    </xf>
    <xf numFmtId="2" fontId="0" fillId="7" borderId="0" xfId="0" applyNumberFormat="1" applyFill="1" applyAlignment="1" applyProtection="1">
      <alignment wrapText="1"/>
    </xf>
    <xf numFmtId="9" fontId="0" fillId="7" borderId="0" xfId="0" applyNumberFormat="1" applyFill="1" applyAlignment="1" applyProtection="1">
      <alignment wrapText="1"/>
    </xf>
    <xf numFmtId="43" fontId="0" fillId="7" borderId="0" xfId="0" applyNumberFormat="1" applyFill="1" applyAlignment="1" applyProtection="1">
      <alignment shrinkToFit="1"/>
    </xf>
    <xf numFmtId="43" fontId="0" fillId="14" borderId="0" xfId="0" applyNumberFormat="1" applyFill="1" applyAlignment="1" applyProtection="1">
      <alignment shrinkToFit="1"/>
    </xf>
    <xf numFmtId="0" fontId="0" fillId="9" borderId="0" xfId="0" applyFill="1" applyAlignment="1">
      <alignment horizontal="justify" vertical="top" wrapText="1"/>
    </xf>
    <xf numFmtId="0" fontId="0" fillId="9" borderId="0" xfId="0" applyFill="1" applyAlignment="1">
      <alignment horizontal="justify" vertical="top" wrapText="1"/>
    </xf>
  </cellXfs>
  <cellStyles count="42">
    <cellStyle name="_x0010_“+ˆÉ•?pý¤" xfId="4"/>
    <cellStyle name="Actual Date" xfId="5"/>
    <cellStyle name="Center" xfId="6"/>
    <cellStyle name="Comma" xfId="41" builtinId="3"/>
    <cellStyle name="Comma 2" xfId="7"/>
    <cellStyle name="Currency 2" xfId="8"/>
    <cellStyle name="Date" xfId="9"/>
    <cellStyle name="eemdata" xfId="10"/>
    <cellStyle name="eqptdensity" xfId="11"/>
    <cellStyle name="Fixed" xfId="12"/>
    <cellStyle name="gal" xfId="13"/>
    <cellStyle name="Grey" xfId="14"/>
    <cellStyle name="HEADER" xfId="15"/>
    <cellStyle name="Heading1" xfId="16"/>
    <cellStyle name="Heading2" xfId="17"/>
    <cellStyle name="HIGHLIGHT" xfId="18"/>
    <cellStyle name="HP" xfId="19"/>
    <cellStyle name="Input [yellow]" xfId="20"/>
    <cellStyle name="kBtuh" xfId="21"/>
    <cellStyle name="kW" xfId="22"/>
    <cellStyle name="kWh" xfId="23"/>
    <cellStyle name="no dec" xfId="24"/>
    <cellStyle name="Normal" xfId="0" builtinId="0"/>
    <cellStyle name="Normal - Style1" xfId="25"/>
    <cellStyle name="Normal 2" xfId="2"/>
    <cellStyle name="Normal 3" xfId="3"/>
    <cellStyle name="Normal 4" xfId="37"/>
    <cellStyle name="Normal 5" xfId="40"/>
    <cellStyle name="Percent" xfId="1" builtinId="5"/>
    <cellStyle name="Percent [2]" xfId="27"/>
    <cellStyle name="Percent 2" xfId="26"/>
    <cellStyle name="Percent 3" xfId="39"/>
    <cellStyle name="Percent 4" xfId="38"/>
    <cellStyle name="rpm" xfId="28"/>
    <cellStyle name="therms" xfId="29"/>
    <cellStyle name="ton" xfId="30"/>
    <cellStyle name="Total 2" xfId="31"/>
    <cellStyle name="Unprot" xfId="32"/>
    <cellStyle name="Unprot$" xfId="33"/>
    <cellStyle name="Unprotect" xfId="34"/>
    <cellStyle name="volt" xfId="35"/>
    <cellStyle name="Watt" xfId="36"/>
  </cellStyles>
  <dxfs count="113">
    <dxf>
      <font>
        <color rgb="FFC7C8C9"/>
      </font>
      <fill>
        <patternFill>
          <bgColor rgb="FFC7C9CB"/>
        </patternFill>
      </fill>
    </dxf>
    <dxf>
      <font>
        <color rgb="FFC7C8C9"/>
      </font>
      <fill>
        <patternFill>
          <bgColor rgb="FFC7C9CB"/>
        </patternFill>
      </fill>
    </dxf>
    <dxf>
      <numFmt numFmtId="0" formatCode="0%"/>
      <alignment textRotation="0" wrapText="1" indent="0" justifyLastLine="0" shrinkToFit="0" readingOrder="0"/>
      <protection locked="1"/>
    </dxf>
    <dxf>
      <numFmt numFmtId="0" formatCode="0%"/>
      <alignment textRotation="0" wrapText="1" indent="0" justifyLastLine="0" shrinkToFit="0" readingOrder="0"/>
      <protection locked="1"/>
    </dxf>
    <dxf>
      <numFmt numFmtId="13" formatCode="0%"/>
      <alignment horizontal="center" vertical="bottom" textRotation="0" wrapText="1" indent="0" justifyLastLine="0" shrinkToFit="0" readingOrder="0"/>
      <protection locked="1"/>
    </dxf>
    <dxf>
      <fill>
        <patternFill patternType="solid">
          <fgColor indexed="64"/>
          <bgColor theme="5" tint="-0.249977111117893"/>
        </patternFill>
      </fill>
      <alignment horizontal="general" vertical="bottom" textRotation="0" wrapText="1" indent="0" justifyLastLine="0" shrinkToFit="0" readingOrder="0"/>
      <protection locked="1" hidden="0"/>
    </dxf>
    <dxf>
      <numFmt numFmtId="4" formatCode="#,##0.00"/>
      <fill>
        <patternFill patternType="solid">
          <fgColor indexed="64"/>
          <bgColor theme="5" tint="-0.249977111117893"/>
        </patternFill>
      </fill>
      <alignment horizontal="righ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horizontal="general"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solid">
          <fgColor indexed="64"/>
          <bgColor rgb="FFC7C8C9"/>
        </patternFill>
      </fill>
      <alignment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horizontal="general" vertical="bottom" textRotation="0" wrapText="0" indent="0" justifyLastLine="0" shrinkToFit="1" readingOrder="0"/>
      <protection locked="1"/>
    </dxf>
    <dxf>
      <numFmt numFmtId="2" formatCode="0.00"/>
      <fill>
        <patternFill patternType="solid">
          <fgColor indexed="64"/>
          <bgColor theme="0"/>
        </patternFill>
      </fill>
      <alignment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horizontal="general"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solid">
          <fgColor indexed="64"/>
          <bgColor rgb="FFC7C8C9"/>
        </patternFill>
      </fill>
      <alignment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horizontal="general"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rgb="FFC7C8C9"/>
        </patternFill>
      </fill>
      <alignment vertical="bottom" textRotation="0" wrapText="0" indent="0" justifyLastLine="0" shrinkToFit="1" readingOrder="0"/>
      <protection locked="1" hidden="0"/>
    </dxf>
    <dxf>
      <fill>
        <patternFill patternType="solid">
          <fgColor indexed="64"/>
          <bgColor rgb="FFC7C8C9"/>
        </patternFill>
      </fill>
      <alignment horizontal="general" vertical="bottom" textRotation="0" wrapText="1" indent="0" justifyLastLine="0" shrinkToFit="0" readingOrder="0"/>
      <protection locked="1"/>
    </dxf>
    <dxf>
      <alignment textRotation="0" wrapText="1" indent="0" justifyLastLine="0" shrinkToFit="0" readingOrder="0"/>
      <protection locked="1" hidden="0"/>
    </dxf>
    <dxf>
      <fill>
        <patternFill patternType="solid">
          <fgColor indexed="64"/>
          <bgColor theme="5" tint="-0.249977111117893"/>
        </patternFill>
      </fill>
      <alignment horizontal="general" vertical="bottom" textRotation="0" wrapText="1" indent="0" justifyLastLine="0" shrinkToFit="0" readingOrder="0"/>
      <protection locked="1" hidden="0"/>
    </dxf>
    <dxf>
      <fill>
        <patternFill patternType="solid">
          <fgColor indexed="64"/>
          <bgColor theme="5" tint="-0.249977111117893"/>
        </patternFill>
      </fill>
      <alignment textRotation="0" wrapText="1" indent="0" justifyLastLine="0" shrinkToFit="0" readingOrder="0"/>
      <protection locked="1" hidden="0"/>
    </dxf>
    <dxf>
      <numFmt numFmtId="35" formatCode="_-* #,##0.00_-;\-* #,##0.00_-;_-* &quot;-&quot;??_-;_-@_-"/>
      <fill>
        <patternFill patternType="solid">
          <fgColor indexed="64"/>
          <bgColor rgb="FFC7C9CB"/>
        </patternFill>
      </fill>
      <alignment horizontal="general" vertical="bottom" textRotation="0" wrapText="0" indent="0" justifyLastLine="0" shrinkToFit="1" readingOrder="0"/>
      <protection locked="1"/>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general" vertical="bottom" textRotation="0" wrapText="0" indent="0" justifyLastLine="0" shrinkToFit="1" readingOrder="0"/>
      <protection locked="1" hidden="0"/>
    </dxf>
    <dxf>
      <numFmt numFmtId="35" formatCode="_-* #,##0.00_-;\-* #,##0.00_-;_-* &quot;-&quot;??_-;_-@_-"/>
      <fill>
        <patternFill patternType="solid">
          <fgColor indexed="64"/>
          <bgColor rgb="FFC7C9CB"/>
        </patternFill>
      </fill>
      <alignment horizontal="general" vertical="bottom" textRotation="0" wrapText="0" indent="0" justifyLastLine="0" shrinkToFit="1" readingOrder="0"/>
      <protection locked="1"/>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general" vertical="bottom" textRotation="0" wrapText="0" indent="0" justifyLastLine="0" shrinkToFit="1" readingOrder="0"/>
      <protection locked="1" hidden="0"/>
    </dxf>
    <dxf>
      <numFmt numFmtId="35" formatCode="_-* #,##0.00_-;\-* #,##0.00_-;_-* &quot;-&quot;??_-;_-@_-"/>
      <fill>
        <patternFill patternType="solid">
          <fgColor indexed="64"/>
          <bgColor rgb="FFC7C8C9"/>
        </patternFill>
      </fill>
      <alignment horizontal="general" vertical="bottom" textRotation="0" wrapText="0" indent="0" justifyLastLine="0" shrinkToFit="1" readingOrder="0"/>
      <protection locked="1"/>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general" vertical="bottom" textRotation="0" wrapText="0" indent="0" justifyLastLine="0" shrinkToFit="1" readingOrder="0"/>
      <protection locked="1" hidden="0"/>
    </dxf>
    <dxf>
      <numFmt numFmtId="35" formatCode="_-* #,##0.00_-;\-* #,##0.00_-;_-* &quot;-&quot;??_-;_-@_-"/>
      <fill>
        <patternFill patternType="solid">
          <fgColor indexed="64"/>
          <bgColor rgb="FFC7C8C9"/>
        </patternFill>
      </fill>
      <alignment horizontal="general" vertical="bottom" textRotation="0" wrapText="0" indent="0" justifyLastLine="0" shrinkToFit="1" readingOrder="0"/>
      <protection locked="1"/>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general" vertical="bottom" textRotation="0" wrapText="0" indent="0" justifyLastLine="0" shrinkToFit="1" readingOrder="0"/>
      <protection locked="1" hidden="0"/>
    </dxf>
    <dxf>
      <numFmt numFmtId="35" formatCode="_-* #,##0.00_-;\-* #,##0.00_-;_-* &quot;-&quot;??_-;_-@_-"/>
      <fill>
        <patternFill patternType="solid">
          <fgColor indexed="64"/>
          <bgColor rgb="FFC7C8C9"/>
        </patternFill>
      </fill>
      <alignment horizontal="general" vertical="bottom" textRotation="0" wrapText="0" indent="0" justifyLastLine="0" shrinkToFit="1" readingOrder="0"/>
      <protection locked="1"/>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general" vertical="bottom" textRotation="0" wrapText="0" indent="0" justifyLastLine="0" shrinkToFit="1" readingOrder="0"/>
      <protection locked="1" hidden="0"/>
    </dxf>
    <dxf>
      <numFmt numFmtId="35" formatCode="_-* #,##0.00_-;\-* #,##0.00_-;_-* &quot;-&quot;??_-;_-@_-"/>
      <fill>
        <patternFill patternType="solid">
          <fgColor indexed="64"/>
          <bgColor rgb="FFC7C8C9"/>
        </patternFill>
      </fill>
      <alignment horizontal="general" vertical="bottom" textRotation="0" wrapText="0" indent="0" justifyLastLine="0" shrinkToFit="1" readingOrder="0"/>
      <protection locked="1"/>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general" vertical="bottom" textRotation="0" wrapText="0" indent="0" justifyLastLine="0" shrinkToFit="1" readingOrder="0"/>
      <protection locked="1" hidden="0"/>
    </dxf>
    <dxf>
      <fill>
        <patternFill patternType="solid">
          <fgColor indexed="64"/>
          <bgColor theme="5" tint="-0.249977111117893"/>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5" tint="-0.249977111117893"/>
        </patternFill>
      </fill>
      <alignment textRotation="0" wrapText="1" indent="0" justifyLastLine="0" shrinkToFit="0" readingOrder="0"/>
      <protection locked="1" hidden="0"/>
    </dxf>
    <dxf>
      <numFmt numFmtId="13" formatCode="0%"/>
      <fill>
        <patternFill patternType="solid">
          <fgColor indexed="64"/>
          <bgColor rgb="FFC7C8C9"/>
        </patternFill>
      </fill>
      <alignment horizontal="general" vertical="bottom" textRotation="0" wrapText="1" indent="0" justifyLastLine="0" shrinkToFit="0" readingOrder="0"/>
      <protection locked="1"/>
    </dxf>
    <dxf>
      <numFmt numFmtId="13" formatCode="0%"/>
      <fill>
        <patternFill patternType="solid">
          <fgColor indexed="64"/>
          <bgColor rgb="FFC7C8C9"/>
        </patternFill>
      </fill>
      <alignment textRotation="0" wrapText="1" indent="0" justifyLastLine="0" shrinkToFit="0" readingOrder="0"/>
      <protection locked="1" hidden="0"/>
    </dxf>
    <dxf>
      <fill>
        <patternFill patternType="solid">
          <fgColor indexed="64"/>
          <bgColor rgb="FFC7C8C9"/>
        </patternFill>
      </fill>
      <alignment horizontal="general" vertical="bottom" textRotation="0" wrapText="1" indent="0" justifyLastLine="0" shrinkToFit="0" readingOrder="0"/>
      <protection locked="1"/>
    </dxf>
    <dxf>
      <alignment textRotation="0" wrapText="1" indent="0" justifyLastLine="0" shrinkToFit="0" readingOrder="0"/>
      <protection locked="1" hidden="0"/>
    </dxf>
    <dxf>
      <fill>
        <patternFill patternType="solid">
          <fgColor indexed="64"/>
          <bgColor rgb="FFC7C8C9"/>
        </patternFill>
      </fill>
      <alignment horizontal="general" vertical="bottom" textRotation="0" wrapText="1" indent="0" justifyLastLine="0" shrinkToFit="0" readingOrder="0"/>
      <protection locked="1"/>
    </dxf>
    <dxf>
      <alignment textRotation="0" wrapText="1" indent="0" justifyLastLine="0" shrinkToFit="0" readingOrder="0"/>
      <protection locked="1" hidden="0"/>
    </dxf>
    <dxf>
      <numFmt numFmtId="2" formatCode="0.00"/>
      <fill>
        <patternFill patternType="solid">
          <fgColor indexed="64"/>
          <bgColor rgb="FFC7C8C9"/>
        </patternFill>
      </fill>
      <alignment horizontal="general" vertical="bottom" textRotation="0" wrapText="1" indent="0" justifyLastLine="0" shrinkToFit="0" readingOrder="0"/>
      <protection locked="1"/>
    </dxf>
    <dxf>
      <alignment textRotation="0" wrapText="1" indent="0" justifyLastLine="0" shrinkToFit="0" readingOrder="0"/>
      <protection locked="1" hidden="0"/>
    </dxf>
    <dxf>
      <numFmt numFmtId="2" formatCode="0.00"/>
      <fill>
        <patternFill patternType="solid">
          <fgColor indexed="64"/>
          <bgColor rgb="FFC7C8C9"/>
        </patternFill>
      </fill>
      <alignment horizontal="general" vertical="bottom" textRotation="0" wrapText="1" indent="0" justifyLastLine="0" shrinkToFit="0" readingOrder="0"/>
      <protection locked="1"/>
    </dxf>
    <dxf>
      <font>
        <b val="0"/>
        <i val="0"/>
        <strike val="0"/>
        <condense val="0"/>
        <extend val="0"/>
        <outline val="0"/>
        <shadow val="0"/>
        <u val="none"/>
        <vertAlign val="baseline"/>
        <sz val="11"/>
        <color theme="1"/>
        <name val="Calibri"/>
        <scheme val="minor"/>
      </font>
      <alignment textRotation="0" wrapText="1" indent="0" justifyLastLine="0" shrinkToFit="0" readingOrder="0"/>
      <protection locked="1" hidden="0"/>
    </dxf>
    <dxf>
      <numFmt numFmtId="184" formatCode="0.0%"/>
      <fill>
        <patternFill patternType="solid">
          <fgColor indexed="64"/>
          <bgColor rgb="FFC7C8C9"/>
        </patternFill>
      </fill>
      <alignment horizontal="general" vertical="bottom" textRotation="0" wrapText="1" indent="0" justifyLastLine="0" shrinkToFit="0" readingOrder="0"/>
      <protection locked="1"/>
    </dxf>
    <dxf>
      <alignment textRotation="0" wrapText="1" indent="0" justifyLastLine="0" shrinkToFit="0" readingOrder="0"/>
      <protection locked="1" hidden="0"/>
    </dxf>
    <dxf>
      <fill>
        <patternFill patternType="solid">
          <fgColor indexed="64"/>
          <bgColor rgb="FFC7C8C9"/>
        </patternFill>
      </fill>
      <alignment horizontal="general" vertical="bottom" textRotation="0" wrapText="1" indent="0" justifyLastLine="0" shrinkToFit="0" readingOrder="0"/>
      <protection locked="1"/>
    </dxf>
    <dxf>
      <alignment textRotation="0" wrapText="1" indent="0" justifyLastLine="0" shrinkToFit="0" readingOrder="0"/>
      <protection locked="1" hidden="0"/>
    </dxf>
    <dxf>
      <fill>
        <patternFill patternType="solid">
          <fgColor indexed="64"/>
          <bgColor rgb="FFC7C8C9"/>
        </patternFill>
      </fill>
      <alignment horizontal="general" vertical="bottom" textRotation="0" wrapText="1" indent="0" justifyLastLine="0" shrinkToFit="0" readingOrder="0"/>
      <protection locked="1"/>
    </dxf>
    <dxf>
      <alignment textRotation="0" wrapText="1" indent="0" justifyLastLine="0" shrinkToFit="0" readingOrder="0"/>
      <protection locked="1" hidden="0"/>
    </dxf>
    <dxf>
      <fill>
        <patternFill patternType="solid">
          <fgColor indexed="64"/>
          <bgColor rgb="FFC7C8C9"/>
        </patternFill>
      </fill>
      <alignment horizontal="general" vertical="bottom" textRotation="0" wrapText="1" indent="0" justifyLastLine="0" shrinkToFit="0" readingOrder="0"/>
      <protection locked="1"/>
    </dxf>
    <dxf>
      <alignment textRotation="0" wrapText="1" indent="0" justifyLastLine="0" shrinkToFit="0" readingOrder="0"/>
      <protection locked="1" hidden="0"/>
    </dxf>
    <dxf>
      <fill>
        <patternFill patternType="solid">
          <fgColor indexed="64"/>
          <bgColor rgb="FFC7C8C9"/>
        </patternFill>
      </fill>
      <alignment horizontal="general" vertical="bottom" textRotation="0" wrapText="1" indent="0" justifyLastLine="0" shrinkToFit="0" readingOrder="0"/>
      <protection locked="1"/>
    </dxf>
    <dxf>
      <alignment textRotation="0" wrapText="1" indent="0" justifyLastLine="0" shrinkToFit="0" readingOrder="0"/>
      <protection locked="1" hidden="0"/>
    </dxf>
    <dxf>
      <numFmt numFmtId="0" formatCode="General"/>
      <fill>
        <patternFill patternType="solid">
          <fgColor indexed="64"/>
          <bgColor rgb="FFC7C8C9"/>
        </patternFill>
      </fill>
      <alignment horizontal="general" vertical="bottom" textRotation="0" wrapText="1" indent="0" justifyLastLine="0" shrinkToFit="0" readingOrder="0"/>
      <protection locked="1" hidden="1"/>
    </dxf>
    <dxf>
      <numFmt numFmtId="0" formatCode="General"/>
      <fill>
        <patternFill patternType="solid">
          <fgColor indexed="64"/>
          <bgColor rgb="FFC7C8C9"/>
        </patternFill>
      </fill>
      <alignment textRotation="0" wrapText="1" indent="0" justifyLastLine="0" shrinkToFit="0" readingOrder="0"/>
      <protection locked="1" hidden="1"/>
    </dxf>
    <dxf>
      <font>
        <b val="0"/>
        <i val="0"/>
        <strike val="0"/>
        <condense val="0"/>
        <extend val="0"/>
        <outline val="0"/>
        <shadow val="0"/>
        <u val="none"/>
        <vertAlign val="baseline"/>
        <sz val="11"/>
        <color theme="1"/>
        <name val="Calibri"/>
        <scheme val="minor"/>
      </font>
      <numFmt numFmtId="4" formatCode="#,##0.00"/>
      <fill>
        <patternFill patternType="solid">
          <fgColor indexed="64"/>
          <bgColor rgb="FFC7C8C9"/>
        </patternFill>
      </fill>
      <alignment horizontal="right" vertical="bottom" textRotation="0" wrapText="0" indent="0" justifyLastLine="0" shrinkToFit="1" readingOrder="0"/>
      <protection locked="1" hidden="0"/>
    </dxf>
    <dxf>
      <numFmt numFmtId="2" formatCode="0.00"/>
      <fill>
        <patternFill patternType="solid">
          <fgColor indexed="64"/>
          <bgColor theme="0"/>
        </patternFill>
      </fill>
      <alignment horizontal="right" vertical="bottom" textRotation="0" wrapText="0" indent="0" justifyLastLine="0" shrinkToFit="1" readingOrder="0"/>
      <protection locked="0" hidden="0"/>
    </dxf>
    <dxf>
      <font>
        <b val="0"/>
        <i val="0"/>
        <strike val="0"/>
        <condense val="0"/>
        <extend val="0"/>
        <outline val="0"/>
        <shadow val="0"/>
        <u val="none"/>
        <vertAlign val="baseline"/>
        <sz val="11"/>
        <color theme="1"/>
        <name val="Calibri"/>
        <scheme val="minor"/>
      </font>
      <numFmt numFmtId="4" formatCode="#,##0.00"/>
      <fill>
        <patternFill patternType="solid">
          <fgColor indexed="64"/>
          <bgColor rgb="FFC7C8C9"/>
        </patternFill>
      </fill>
      <alignment horizontal="right"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rgb="FFC7C8C9"/>
        </patternFill>
      </fill>
      <alignment horizontal="right"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right"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right"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right"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right"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right" vertical="bottom" textRotation="0" wrapText="0" indent="0" justifyLastLine="0" shrinkToFit="1" readingOrder="0"/>
      <protection locked="1" hidden="0"/>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rgb="FFC7C8C9"/>
        </patternFill>
      </fill>
      <alignment horizontal="right" vertical="bottom" textRotation="0" wrapText="0" indent="0" justifyLastLine="0" shrinkToFit="1" readingOrder="0"/>
      <protection locked="1" hidden="0"/>
    </dxf>
    <dxf>
      <alignment textRotation="0" wrapText="1" indent="0" justifyLastLine="0" shrinkToFit="0" readingOrder="0"/>
    </dxf>
    <dxf>
      <alignment textRotation="0" wrapText="1" indent="0" justifyLastLine="0" shrinkToFit="0" readingOrder="0"/>
    </dxf>
    <dxf>
      <numFmt numFmtId="13" formatCode="0%"/>
      <alignment horizontal="center" vertical="bottom" textRotation="0" wrapText="1" indent="0" justifyLastLine="0" shrinkToFit="0" readingOrder="0"/>
    </dxf>
    <dxf>
      <fill>
        <patternFill patternType="solid">
          <fgColor indexed="64"/>
          <bgColor theme="5" tint="-0.249977111117893"/>
        </patternFill>
      </fill>
      <alignment textRotation="0" wrapText="1" indent="0" justifyLastLine="0" shrinkToFit="0" readingOrder="0"/>
      <protection locked="1" hidden="0"/>
    </dxf>
    <dxf>
      <numFmt numFmtId="4" formatCode="#,##0.00"/>
      <fill>
        <patternFill patternType="solid">
          <fgColor indexed="64"/>
          <bgColor theme="5" tint="-0.249977111117893"/>
        </patternFill>
      </fill>
      <alignment horizontal="righ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textRotation="0" wrapText="1"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C7C8C9"/>
        </patternFill>
      </fill>
      <alignment textRotation="0" wrapText="1" indent="0" justifyLastLine="0" shrinkToFit="0" readingOrder="0"/>
      <protection locked="1" hidden="0"/>
    </dxf>
    <dxf>
      <fill>
        <patternFill patternType="solid">
          <fgColor indexed="64"/>
          <bgColor rgb="FFC7C8C9"/>
        </patternFill>
      </fill>
      <alignment textRotation="0" wrapText="1" indent="0" justifyLastLine="0" shrinkToFit="0" readingOrder="0"/>
    </dxf>
    <dxf>
      <alignment horizontal="right" vertical="bottom" textRotation="0" wrapText="1" indent="0" justifyLastLine="0" shrinkToFit="0" readingOrder="0"/>
      <protection locked="0" hidden="0"/>
    </dxf>
    <dxf>
      <fill>
        <patternFill patternType="solid">
          <fgColor indexed="64"/>
          <bgColor theme="5" tint="-0.249977111117893"/>
        </patternFill>
      </fill>
      <alignment textRotation="0" wrapText="1" indent="0" justifyLastLine="0" shrinkToFit="0" readingOrder="0"/>
      <protection locked="1" hidden="0"/>
    </dxf>
    <dxf>
      <fill>
        <patternFill patternType="solid">
          <fgColor indexed="64"/>
          <bgColor theme="5" tint="-0.249977111117893"/>
        </patternFill>
      </fill>
      <alignment horizontal="right" vertical="bottom" textRotation="0" wrapText="1" indent="0" justifyLastLine="0" shrinkToFit="0" readingOrder="0"/>
      <protection locked="1" hidden="0"/>
    </dxf>
    <dxf>
      <numFmt numFmtId="35" formatCode="_-* #,##0.00_-;\-* #,##0.00_-;_-* &quot;-&quot;??_-;_-@_-"/>
      <fill>
        <patternFill patternType="solid">
          <fgColor indexed="64"/>
          <bgColor rgb="FFC7C9CB"/>
        </patternFill>
      </fill>
      <alignment textRotation="0" wrapText="1" indent="0" justifyLastLine="0" shrinkToFit="0" readingOrder="0"/>
    </dxf>
    <dxf>
      <numFmt numFmtId="35" formatCode="_-* #,##0.00_-;\-* #,##0.00_-;_-* &quot;-&quot;??_-;_-@_-"/>
      <fill>
        <patternFill patternType="solid">
          <fgColor indexed="64"/>
          <bgColor rgb="FFC7C9CB"/>
        </patternFill>
      </fill>
      <alignment textRotation="0" wrapText="1" indent="0" justifyLastLine="0" shrinkToFit="0" readingOrder="0"/>
    </dxf>
    <dxf>
      <numFmt numFmtId="35" formatCode="_-* #,##0.00_-;\-* #,##0.00_-;_-* &quot;-&quot;??_-;_-@_-"/>
      <fill>
        <patternFill patternType="solid">
          <fgColor indexed="64"/>
          <bgColor rgb="FFC7C8C9"/>
        </patternFill>
      </fill>
      <alignment textRotation="0" wrapText="1" indent="0" justifyLastLine="0" shrinkToFit="0" readingOrder="0"/>
    </dxf>
    <dxf>
      <numFmt numFmtId="35" formatCode="_-* #,##0.00_-;\-* #,##0.00_-;_-* &quot;-&quot;??_-;_-@_-"/>
      <fill>
        <patternFill patternType="solid">
          <fgColor indexed="64"/>
          <bgColor rgb="FFC7C8C9"/>
        </patternFill>
      </fill>
      <alignment textRotation="0" wrapText="1" indent="0" justifyLastLine="0" shrinkToFit="0" readingOrder="0"/>
    </dxf>
    <dxf>
      <numFmt numFmtId="35" formatCode="_-* #,##0.00_-;\-* #,##0.00_-;_-* &quot;-&quot;??_-;_-@_-"/>
      <fill>
        <patternFill patternType="solid">
          <fgColor indexed="64"/>
          <bgColor rgb="FFC7C8C9"/>
        </patternFill>
      </fill>
      <alignment textRotation="0" wrapText="1" indent="0" justifyLastLine="0" shrinkToFit="0" readingOrder="0"/>
    </dxf>
    <dxf>
      <numFmt numFmtId="35" formatCode="_-* #,##0.00_-;\-* #,##0.00_-;_-* &quot;-&quot;??_-;_-@_-"/>
      <fill>
        <patternFill patternType="solid">
          <fgColor indexed="64"/>
          <bgColor rgb="FFC7C8C9"/>
        </patternFill>
      </fill>
      <alignment textRotation="0" wrapText="1" indent="0" justifyLastLine="0" shrinkToFit="0" readingOrder="0"/>
    </dxf>
    <dxf>
      <fill>
        <patternFill patternType="solid">
          <fgColor indexed="64"/>
          <bgColor theme="5" tint="-0.249977111117893"/>
        </patternFill>
      </fill>
      <alignment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5" tint="-0.249977111117893"/>
        </patternFill>
      </fill>
      <alignment horizontal="right" vertical="bottom" textRotation="0" wrapText="1" indent="0" justifyLastLine="0" shrinkToFit="0" readingOrder="0"/>
      <protection locked="1" hidden="0"/>
    </dxf>
    <dxf>
      <numFmt numFmtId="13" formatCode="0%"/>
      <fill>
        <patternFill patternType="solid">
          <fgColor indexed="64"/>
          <bgColor rgb="FFC7C8C9"/>
        </patternFill>
      </fill>
      <alignment textRotation="0" wrapText="1" indent="0" justifyLastLine="0" shrinkToFit="0" readingOrder="0"/>
    </dxf>
    <dxf>
      <numFmt numFmtId="13" formatCode="0%"/>
      <fill>
        <patternFill patternType="solid">
          <fgColor indexed="64"/>
          <bgColor rgb="FFC7C8C9"/>
        </patternFill>
      </fill>
      <alignment horizontal="right" vertical="bottom" textRotation="0" wrapText="1" indent="0" justifyLastLine="0" shrinkToFit="0" readingOrder="0"/>
      <protection locked="1" hidden="0"/>
    </dxf>
    <dxf>
      <fill>
        <patternFill patternType="solid">
          <fgColor indexed="64"/>
          <bgColor rgb="FFC7C8C9"/>
        </patternFill>
      </fill>
      <alignment textRotation="0" wrapText="1" indent="0" justifyLastLine="0" shrinkToFit="0" readingOrder="0"/>
    </dxf>
    <dxf>
      <alignment horizontal="right" vertical="bottom" textRotation="0" wrapText="1" indent="0" justifyLastLine="0" shrinkToFit="0" readingOrder="0"/>
      <protection locked="0" hidden="0"/>
    </dxf>
    <dxf>
      <fill>
        <patternFill patternType="solid">
          <fgColor indexed="64"/>
          <bgColor rgb="FFC7C8C9"/>
        </patternFill>
      </fill>
      <alignment textRotation="0" wrapText="1" indent="0" justifyLastLine="0" shrinkToFit="0" readingOrder="0"/>
    </dxf>
    <dxf>
      <alignment horizontal="right" vertical="bottom" textRotation="0" wrapText="1" indent="0" justifyLastLine="0" shrinkToFit="0" readingOrder="0"/>
      <protection locked="0" hidden="0"/>
    </dxf>
    <dxf>
      <numFmt numFmtId="2" formatCode="0.00"/>
      <fill>
        <patternFill patternType="solid">
          <fgColor indexed="64"/>
          <bgColor rgb="FFC7C8C9"/>
        </patternFill>
      </fill>
      <alignment textRotation="0" wrapText="1" indent="0" justifyLastLine="0" shrinkToFit="0" readingOrder="0"/>
    </dxf>
    <dxf>
      <alignment horizontal="right" vertical="bottom" textRotation="0" wrapText="1" indent="0" justifyLastLine="0" shrinkToFit="0" readingOrder="0"/>
      <protection locked="0" hidden="0"/>
    </dxf>
    <dxf>
      <numFmt numFmtId="2" formatCode="0.00"/>
      <fill>
        <patternFill patternType="solid">
          <fgColor indexed="64"/>
          <bgColor rgb="FFC7C8C9"/>
        </patternFill>
      </fill>
      <alignment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1" indent="0" justifyLastLine="0" shrinkToFit="0" readingOrder="0"/>
      <protection locked="0" hidden="0"/>
    </dxf>
    <dxf>
      <numFmt numFmtId="184" formatCode="0.0%"/>
      <fill>
        <patternFill patternType="solid">
          <fgColor indexed="64"/>
          <bgColor rgb="FFC7C8C9"/>
        </patternFill>
      </fill>
      <alignment textRotation="0" wrapText="1" indent="0" justifyLastLine="0" shrinkToFit="0" readingOrder="0"/>
    </dxf>
    <dxf>
      <alignment horizontal="right" vertical="bottom" textRotation="0" wrapText="1" indent="0" justifyLastLine="0" shrinkToFit="0" readingOrder="0"/>
      <protection locked="0" hidden="0"/>
    </dxf>
    <dxf>
      <fill>
        <patternFill patternType="solid">
          <fgColor indexed="64"/>
          <bgColor rgb="FFC7C8C9"/>
        </patternFill>
      </fill>
      <alignment textRotation="0" wrapText="1" indent="0" justifyLastLine="0" shrinkToFit="0" readingOrder="0"/>
    </dxf>
    <dxf>
      <alignment horizontal="right" vertical="bottom" textRotation="0" wrapText="1" indent="0" justifyLastLine="0" shrinkToFit="0" readingOrder="0"/>
      <protection locked="0" hidden="0"/>
    </dxf>
    <dxf>
      <fill>
        <patternFill patternType="solid">
          <fgColor indexed="64"/>
          <bgColor rgb="FFC7C8C9"/>
        </patternFill>
      </fill>
      <alignment textRotation="0" wrapText="1" indent="0" justifyLastLine="0" shrinkToFit="0" readingOrder="0"/>
    </dxf>
    <dxf>
      <alignment horizontal="right" vertical="bottom" textRotation="0" wrapText="1" indent="0" justifyLastLine="0" shrinkToFit="0" readingOrder="0"/>
      <protection locked="0" hidden="0"/>
    </dxf>
    <dxf>
      <fill>
        <patternFill patternType="solid">
          <fgColor indexed="64"/>
          <bgColor rgb="FFC7C8C9"/>
        </patternFill>
      </fill>
      <alignment textRotation="0" wrapText="1" indent="0" justifyLastLine="0" shrinkToFit="0" readingOrder="0"/>
    </dxf>
    <dxf>
      <alignment horizontal="left" vertical="bottom" textRotation="0" wrapText="1" indent="0" justifyLastLine="0" shrinkToFit="0" readingOrder="0"/>
      <protection locked="0" hidden="0"/>
    </dxf>
    <dxf>
      <fill>
        <patternFill patternType="solid">
          <fgColor indexed="64"/>
          <bgColor rgb="FFC7C8C9"/>
        </patternFill>
      </fill>
      <alignment textRotation="0" wrapText="1" indent="0" justifyLastLine="0" shrinkToFit="0" readingOrder="0"/>
    </dxf>
    <dxf>
      <alignment horizontal="left" vertical="bottom" textRotation="0" wrapText="1" indent="0" justifyLastLine="0" shrinkToFit="0" readingOrder="0"/>
      <protection locked="0" hidden="0"/>
    </dxf>
    <dxf>
      <numFmt numFmtId="0" formatCode="General"/>
      <fill>
        <patternFill patternType="solid">
          <fgColor indexed="64"/>
          <bgColor rgb="FFC7C8C9"/>
        </patternFill>
      </fill>
      <alignment textRotation="0" wrapText="1" indent="0" justifyLastLine="0" shrinkToFit="0" readingOrder="0"/>
      <protection locked="1" hidden="1"/>
    </dxf>
    <dxf>
      <numFmt numFmtId="0" formatCode="General"/>
      <fill>
        <patternFill patternType="solid">
          <fgColor indexed="64"/>
          <bgColor rgb="FFC7C8C9"/>
        </patternFill>
      </fill>
      <alignment textRotation="0" wrapText="1" indent="0" justifyLastLine="0" shrinkToFit="0" readingOrder="0"/>
      <protection locked="1" hidden="1"/>
    </dxf>
    <dxf>
      <font>
        <b/>
        <i val="0"/>
        <color theme="0"/>
      </font>
      <fill>
        <patternFill>
          <bgColor theme="4"/>
        </patternFill>
      </fill>
    </dxf>
    <dxf>
      <border>
        <left style="thin">
          <color theme="4"/>
        </left>
        <right style="thin">
          <color theme="4"/>
        </right>
        <top style="thin">
          <color theme="4"/>
        </top>
        <bottom style="thin">
          <color theme="4"/>
        </bottom>
        <vertical style="thin">
          <color theme="4"/>
        </vertical>
        <horizontal style="thin">
          <color theme="4"/>
        </horizontal>
      </border>
    </dxf>
    <dxf>
      <font>
        <color theme="0"/>
      </font>
      <fill>
        <patternFill>
          <bgColor theme="4"/>
        </patternFill>
      </fill>
    </dxf>
    <dxf>
      <font>
        <b/>
        <i val="0"/>
        <color theme="0"/>
      </font>
      <fill>
        <patternFill>
          <bgColor theme="4"/>
        </patternFill>
      </fill>
      <border>
        <left style="thin">
          <color theme="4"/>
        </left>
        <right style="thin">
          <color theme="4"/>
        </right>
        <top style="thin">
          <color theme="4"/>
        </top>
        <bottom style="thin">
          <color theme="4"/>
        </bottom>
        <vertical style="thin">
          <color theme="4"/>
        </vertical>
        <horizontal style="thin">
          <color theme="4"/>
        </horizontal>
      </border>
    </dxf>
    <dxf>
      <fill>
        <patternFill>
          <bgColor rgb="FFC7C9CB"/>
        </patternFill>
      </fill>
      <border>
        <left style="thin">
          <color theme="4"/>
        </left>
        <right style="thin">
          <color theme="4"/>
        </right>
        <top style="thin">
          <color theme="4"/>
        </top>
        <bottom style="thin">
          <color theme="4"/>
        </bottom>
        <vertical style="thin">
          <color theme="4"/>
        </vertical>
        <horizontal style="thin">
          <color theme="4"/>
        </horizontal>
      </border>
    </dxf>
  </dxfs>
  <tableStyles count="3" defaultTableStyle="Header Column" defaultPivotStyle="PivotStyleLight16">
    <tableStyle name="Header Column" pivot="0" count="2">
      <tableStyleElement type="wholeTable" dxfId="112"/>
      <tableStyleElement type="firstColumn" dxfId="111"/>
    </tableStyle>
    <tableStyle name="Table Style 1" pivot="0" count="1">
      <tableStyleElement type="firstColumnStripe" dxfId="110"/>
    </tableStyle>
    <tableStyle name="Table Style 2" pivot="0" count="2">
      <tableStyleElement type="wholeTable" dxfId="109"/>
      <tableStyleElement type="firstColumn" dxfId="108"/>
    </tableStyle>
  </tableStyles>
  <colors>
    <mruColors>
      <color rgb="FF464749"/>
      <color rgb="FFC7C9CB"/>
      <color rgb="FFC7C8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11</xdr:col>
      <xdr:colOff>190500</xdr:colOff>
      <xdr:row>0</xdr:row>
      <xdr:rowOff>123825</xdr:rowOff>
    </xdr:from>
    <xdr:to>
      <xdr:col>12</xdr:col>
      <xdr:colOff>323850</xdr:colOff>
      <xdr:row>3</xdr:row>
      <xdr:rowOff>161147</xdr:rowOff>
    </xdr:to>
    <xdr:pic>
      <xdr:nvPicPr>
        <xdr:cNvPr id="4" name="Picture 3"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6543675" y="123825"/>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12</xdr:col>
      <xdr:colOff>390524</xdr:colOff>
      <xdr:row>0</xdr:row>
      <xdr:rowOff>123825</xdr:rowOff>
    </xdr:from>
    <xdr:to>
      <xdr:col>13</xdr:col>
      <xdr:colOff>554901</xdr:colOff>
      <xdr:row>3</xdr:row>
      <xdr:rowOff>149485</xdr:rowOff>
    </xdr:to>
    <xdr:pic>
      <xdr:nvPicPr>
        <xdr:cNvPr id="7" name="Picture 6"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7353299" y="123825"/>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133351</xdr:colOff>
      <xdr:row>0</xdr:row>
      <xdr:rowOff>57150</xdr:rowOff>
    </xdr:from>
    <xdr:to>
      <xdr:col>2</xdr:col>
      <xdr:colOff>457201</xdr:colOff>
      <xdr:row>4</xdr:row>
      <xdr:rowOff>18272</xdr:rowOff>
    </xdr:to>
    <xdr:pic>
      <xdr:nvPicPr>
        <xdr:cNvPr id="2" name="Picture 1"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285751" y="57150"/>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2</xdr:col>
      <xdr:colOff>523875</xdr:colOff>
      <xdr:row>0</xdr:row>
      <xdr:rowOff>57150</xdr:rowOff>
    </xdr:from>
    <xdr:to>
      <xdr:col>2</xdr:col>
      <xdr:colOff>1297852</xdr:colOff>
      <xdr:row>4</xdr:row>
      <xdr:rowOff>6610</xdr:rowOff>
    </xdr:to>
    <xdr:pic>
      <xdr:nvPicPr>
        <xdr:cNvPr id="3" name="Picture 2"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1095375" y="57150"/>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142875</xdr:colOff>
      <xdr:row>0</xdr:row>
      <xdr:rowOff>95250</xdr:rowOff>
    </xdr:from>
    <xdr:to>
      <xdr:col>1</xdr:col>
      <xdr:colOff>885825</xdr:colOff>
      <xdr:row>3</xdr:row>
      <xdr:rowOff>180197</xdr:rowOff>
    </xdr:to>
    <xdr:pic>
      <xdr:nvPicPr>
        <xdr:cNvPr id="6" name="Picture 5"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276225" y="95250"/>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1</xdr:col>
      <xdr:colOff>952499</xdr:colOff>
      <xdr:row>0</xdr:row>
      <xdr:rowOff>95250</xdr:rowOff>
    </xdr:from>
    <xdr:to>
      <xdr:col>1</xdr:col>
      <xdr:colOff>1726476</xdr:colOff>
      <xdr:row>3</xdr:row>
      <xdr:rowOff>168535</xdr:rowOff>
    </xdr:to>
    <xdr:pic>
      <xdr:nvPicPr>
        <xdr:cNvPr id="7" name="Picture 6"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1085849" y="95250"/>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133351</xdr:colOff>
      <xdr:row>0</xdr:row>
      <xdr:rowOff>57150</xdr:rowOff>
    </xdr:from>
    <xdr:to>
      <xdr:col>2</xdr:col>
      <xdr:colOff>457201</xdr:colOff>
      <xdr:row>4</xdr:row>
      <xdr:rowOff>18272</xdr:rowOff>
    </xdr:to>
    <xdr:pic>
      <xdr:nvPicPr>
        <xdr:cNvPr id="2" name="Picture 1"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285751" y="57150"/>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2</xdr:col>
      <xdr:colOff>523875</xdr:colOff>
      <xdr:row>0</xdr:row>
      <xdr:rowOff>57150</xdr:rowOff>
    </xdr:from>
    <xdr:to>
      <xdr:col>2</xdr:col>
      <xdr:colOff>1297852</xdr:colOff>
      <xdr:row>4</xdr:row>
      <xdr:rowOff>6610</xdr:rowOff>
    </xdr:to>
    <xdr:pic>
      <xdr:nvPicPr>
        <xdr:cNvPr id="3" name="Picture 2"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1095375" y="57150"/>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3" name="Table3" displayName="Table3" ref="B11:Z21" totalsRowCount="1" headerRowDxfId="67" dataDxfId="65" totalsRowDxfId="66">
  <autoFilter ref="B11:Z20"/>
  <tableColumns count="25">
    <tableColumn id="1" name="#" totalsRowFunction="countNums" dataDxfId="107" totalsRowDxfId="106">
      <calculatedColumnFormula>IF(Table3[[#This Row],[Rated Motor Power
'[kW']]]&gt;0,ROW(Table3[[#This Row],[Compressor Code
'[Identity']]])-ROW(Table3[[#Headers],[Compressor Code
'[Identity']]]),"")</calculatedColumnFormula>
    </tableColumn>
    <tableColumn id="2" name="Compressor Code_x000a_[Identity]" dataDxfId="105" totalsRowDxfId="104"/>
    <tableColumn id="26" name="Compressor Type" dataDxfId="103" totalsRowDxfId="102"/>
    <tableColumn id="31" name="Discharge Flow Rate_x000a_[mᶟ/min]" totalsRowFunction="sum" dataDxfId="101" totalsRowDxfId="100"/>
    <tableColumn id="3" name="Rated Motor Power_x000a_[kW]" totalsRowFunction="sum" dataDxfId="99" totalsRowDxfId="98"/>
    <tableColumn id="5" name="Design Efficiency_x000a_[%]" dataDxfId="97" totalsRowDxfId="96" dataCellStyle="Percent"/>
    <tableColumn id="20" name="On-load Motor Power_x000a_[kW]" totalsRowFunction="sum" dataDxfId="95" totalsRowDxfId="94" dataCellStyle="Percent"/>
    <tableColumn id="11" name="Off-load Motor Power_x000a_[kW]" totalsRowFunction="sum" dataDxfId="93" totalsRowDxfId="92"/>
    <tableColumn id="7" name="Annual Operation_x000a_[hrs/y]" totalsRowFunction="average" dataDxfId="91" totalsRowDxfId="90"/>
    <tableColumn id="8" name="On-load Operation_x000a_[hrs/y]" dataDxfId="89" totalsRowDxfId="88"/>
    <tableColumn id="10" name="Load Factor_x000a_[%]" totalsRowFunction="average" dataDxfId="87" totalsRowDxfId="86" dataCellStyle="Percent">
      <calculatedColumnFormula>IF(Table3[[#This Row],[Compressor Type]]="Reciprocating",1,IF(Table3[[#This Row],[Annual Operation
'[hrs/y']]]&gt;0,Table3[[#This Row],[On-load Operation
'[hrs/y']]]/Table3[[#This Row],[Annual Operation
'[hrs/y']]]))</calculatedColumnFormula>
    </tableColumn>
    <tableColumn id="27" name="Column2" dataDxfId="85" totalsRowDxfId="84" dataCellStyle="Percent"/>
    <tableColumn id="18" name="Total Energy Consumption_x000a_[kWh/y]" totalsRowFunction="sum" dataDxfId="64" totalsRowDxfId="83" dataCellStyle="Percent">
      <calculatedColumnFormula>IF(Table3[[#This Row],[Compressor Type]]="Reciprocating",Table3[[#This Row],[Annual Operation
'[hrs/y']]]*Table3[[#This Row],[On-load Motor Power
'[kW']]],((Table3[[#This Row],[On-load Motor Power
'[kW']]]*Table3[[#This Row],[On-load Operation
'[hrs/y']]])+Table3[[#This Row],[Off-load Motor Power
'[kW']]]*(Table3[[#This Row],[Annual Operation
'[hrs/y']]]-Table3[[#This Row],[On-load Operation
'[hrs/y']]])))</calculatedColumnFormula>
    </tableColumn>
    <tableColumn id="17" name="On-load Energy Consumption_x000a_[kWh/y]" totalsRowFunction="sum" dataDxfId="63" totalsRowDxfId="82" dataCellStyle="Percent">
      <calculatedColumnFormula>Table3[[#This Row],[Total Energy Consumption
'[kWh/y']]]*Table3[[#This Row],[Load Factor
'[%']]]</calculatedColumnFormula>
    </tableColumn>
    <tableColumn id="16" name="Off-load Energy Consumption_x000a_[kWh/y]" totalsRowFunction="sum" dataDxfId="62" totalsRowDxfId="81" dataCellStyle="Percent">
      <calculatedColumnFormula>Table3[[#This Row],[Total Energy Consumption
'[kWh/y']]]-Table3[[#This Row],[On-load Energy Consumption
'[kWh/y']]]</calculatedColumnFormula>
    </tableColumn>
    <tableColumn id="14" name="Total Energy Cost_x000a_[PKR/y]" totalsRowFunction="sum" dataDxfId="61" totalsRowDxfId="80" dataCellStyle="Percent">
      <calculatedColumnFormula>Table3[[#This Row],[Total Energy Consumption
'[kWh/y']]]*$G$5</calculatedColumnFormula>
    </tableColumn>
    <tableColumn id="12" name="On-load Energy Cost_x000a_[PKR/y]" totalsRowFunction="sum" dataDxfId="60" totalsRowDxfId="79" dataCellStyle="Percent">
      <calculatedColumnFormula>Table3[[#This Row],[On-load Energy Consumption
'[kWh/y']]]*$G$5</calculatedColumnFormula>
    </tableColumn>
    <tableColumn id="13" name="Off-load Energy Cost_x000a_[PKR/y]" totalsRowFunction="sum" dataDxfId="59" totalsRowDxfId="78" dataCellStyle="Percent">
      <calculatedColumnFormula>Table3[[#This Row],[Off-load Energy Consumption
'[kWh/y']]]*$G$5</calculatedColumnFormula>
    </tableColumn>
    <tableColumn id="36" name="Column8" dataDxfId="77" totalsRowDxfId="76"/>
    <tableColumn id="35" name="VFD Installed or Not!" totalsRowFunction="custom" dataDxfId="75" totalsRowDxfId="74">
      <totalsRowFormula>COUNTIF(Table3[VFD Installed or Not!],"No")</totalsRowFormula>
    </tableColumn>
    <tableColumn id="21" name="Energy Saving for Installing VFD_x000a_[kWh/y]" totalsRowFunction="sum" dataDxfId="58" totalsRowDxfId="73" dataCellStyle="Percent">
      <calculatedColumnFormula>IF(Table3[[#This Row],[VFD Installed or Not!]]="No", IF(Table3[[#This Row],[Compressor Type]]="Centrifugal / Screw",Table3[[#This Row],[Off-load Energy Consumption
'[kWh/y']]]*0.7,"N/A"),"N/A")</calculatedColumnFormula>
    </tableColumn>
    <tableColumn id="19" name="Energy Saving for Installing VFD_x000a_[PKR/y]" totalsRowFunction="sum" dataDxfId="57" totalsRowDxfId="72" dataCellStyle="Percent">
      <calculatedColumnFormula>IF(Table3[[#This Row],[Energy Saving for Installing VFD
'[kWh/y']]]="N/A","N/A",Table3[[#This Row],[Energy Saving for Installing VFD
'[kWh/y']]]*$G$5)</calculatedColumnFormula>
    </tableColumn>
    <tableColumn id="24" name="Investment for VFD_x000a_[PKR]" totalsRowFunction="sum" dataDxfId="56" totalsRowDxfId="71"/>
    <tableColumn id="15" name="Payback Period_x000a_[months]" totalsRowFunction="custom" dataDxfId="55" totalsRowDxfId="70" dataCellStyle="Percent">
      <calculatedColumnFormula>IF(Table3[[#This Row],[Energy Saving for Installing VFD
'[PKR/y']]]="N/A","N/A", Table3[[#This Row],[Investment for VFD
'[PKR']]]*12/Table3[[#This Row],[Energy Saving for Installing VFD
'[PKR/y']]])</calculatedColumnFormula>
      <totalsRowFormula>IF(Table3[[#Totals],[Energy Saving for Installing VFD
'[PKR/y']]]=0,"N/A",Table3[[#Totals],[Investment for VFD
'[PKR']]]*12/Table3[[#Totals],[Energy Saving for Installing VFD
'[PKR/y']]])</totalsRowFormula>
    </tableColumn>
    <tableColumn id="25" name="Column5" dataDxfId="69" totalsRowDxfId="68"/>
  </tableColumns>
  <tableStyleInfo name="TableStyleLight10" showFirstColumn="0" showLastColumn="0" showRowStripes="1" showColumnStripes="0"/>
</table>
</file>

<file path=xl/tables/table2.xml><?xml version="1.0" encoding="utf-8"?>
<table xmlns="http://schemas.openxmlformats.org/spreadsheetml/2006/main" id="1" name="Table32" displayName="Table32" ref="B11:Z15" totalsRowCount="1" headerRowDxfId="4" dataDxfId="2" totalsRowDxfId="3">
  <autoFilter ref="B11:Z14"/>
  <tableColumns count="25">
    <tableColumn id="1" name="#" totalsRowFunction="countNums" dataDxfId="54" totalsRowDxfId="53">
      <calculatedColumnFormula>IF(Table32[[#This Row],[Rated Motor Power
'[kW']]]&gt;0,ROW(Table32[[#This Row],[Compressor Code
'[Identity']]])-ROW(Table32[[#Headers],[Compressor Code
'[Identity']]]),"")</calculatedColumnFormula>
    </tableColumn>
    <tableColumn id="2" name="Compressor Code_x000a_[Identity]" dataDxfId="52" totalsRowDxfId="51"/>
    <tableColumn id="26" name="Compressor Type" dataDxfId="50" totalsRowDxfId="49"/>
    <tableColumn id="31" name="Discharge Flow Rate_x000a_[mᶟ/min]" totalsRowFunction="sum" dataDxfId="48" totalsRowDxfId="47"/>
    <tableColumn id="3" name="Rated Motor Power_x000a_[kW]" totalsRowFunction="sum" dataDxfId="46" totalsRowDxfId="45"/>
    <tableColumn id="5" name="Design Efficiency_x000a_[%]" dataDxfId="44" totalsRowDxfId="43" dataCellStyle="Percent"/>
    <tableColumn id="20" name="On-load Motor Power_x000a_[kW]" totalsRowFunction="sum" dataDxfId="42" totalsRowDxfId="41" dataCellStyle="Percent"/>
    <tableColumn id="11" name="Off-load Motor Power_x000a_[kW]" totalsRowFunction="sum" dataDxfId="40" totalsRowDxfId="39"/>
    <tableColumn id="7" name="Annual Operation_x000a_[hrs/y]" totalsRowFunction="average" dataDxfId="38" totalsRowDxfId="37"/>
    <tableColumn id="8" name="On-load Operation_x000a_[hrs/y]" dataDxfId="36" totalsRowDxfId="35"/>
    <tableColumn id="10" name="Load Factor_x000a_[%]" totalsRowFunction="average" dataDxfId="34" totalsRowDxfId="33" dataCellStyle="Percent">
      <calculatedColumnFormula>IF(Table32[[#This Row],[Compressor Type]]="Reciprocating",1,IF(Table32[[#This Row],[Annual Operation
'[hrs/y']]]&gt;0,Table32[[#This Row],[On-load Operation
'[hrs/y']]]/Table32[[#This Row],[Annual Operation
'[hrs/y']]]))</calculatedColumnFormula>
    </tableColumn>
    <tableColumn id="27" name="Column2" dataDxfId="32" totalsRowDxfId="31" dataCellStyle="Percent"/>
    <tableColumn id="18" name="Total Energy Consumption_x000a_[kWh/y]" totalsRowFunction="sum" dataDxfId="30" totalsRowDxfId="29" dataCellStyle="Percent">
      <calculatedColumnFormula>IF(Table32[[#This Row],[Compressor Type]]="Reciprocating",Table32[[#This Row],[Annual Operation
'[hrs/y']]]*Table32[[#This Row],[On-load Motor Power
'[kW']]],((Table32[[#This Row],[On-load Motor Power
'[kW']]]*Table32[[#This Row],[On-load Operation
'[hrs/y']]])+Table32[[#This Row],[Off-load Motor Power
'[kW']]]*(Table32[[#This Row],[Annual Operation
'[hrs/y']]]-Table32[[#This Row],[On-load Operation
'[hrs/y']]])))</calculatedColumnFormula>
    </tableColumn>
    <tableColumn id="17" name="On-load Energy Consumption_x000a_[kWh/y]" totalsRowFunction="sum" dataDxfId="28" totalsRowDxfId="27" dataCellStyle="Percent">
      <calculatedColumnFormula>Table32[[#This Row],[Total Energy Consumption
'[kWh/y']]]*Table32[[#This Row],[Load Factor
'[%']]]</calculatedColumnFormula>
    </tableColumn>
    <tableColumn id="16" name="Off-load Energy Consumption_x000a_[kWh/y]" totalsRowFunction="sum" dataDxfId="26" totalsRowDxfId="25" dataCellStyle="Percent">
      <calculatedColumnFormula>Table32[[#This Row],[Total Energy Consumption
'[kWh/y']]]-Table32[[#This Row],[On-load Energy Consumption
'[kWh/y']]]</calculatedColumnFormula>
    </tableColumn>
    <tableColumn id="14" name="Total Energy Cost_x000a_[PKR/y]" totalsRowFunction="sum" dataDxfId="24" totalsRowDxfId="23" dataCellStyle="Percent">
      <calculatedColumnFormula>Table32[[#This Row],[Total Energy Consumption
'[kWh/y']]]*$G$5</calculatedColumnFormula>
    </tableColumn>
    <tableColumn id="12" name="On-load Energy Cost_x000a_[PKR/y]" totalsRowFunction="sum" dataDxfId="22" totalsRowDxfId="21" dataCellStyle="Percent">
      <calculatedColumnFormula>Table32[[#This Row],[On-load Energy Consumption
'[kWh/y']]]*$G$5</calculatedColumnFormula>
    </tableColumn>
    <tableColumn id="13" name="Off-load Energy Cost_x000a_[PKR/y]" totalsRowFunction="sum" dataDxfId="20" totalsRowDxfId="19" dataCellStyle="Percent">
      <calculatedColumnFormula>Table32[[#This Row],[Off-load Energy Consumption
'[kWh/y']]]*$G$5</calculatedColumnFormula>
    </tableColumn>
    <tableColumn id="36" name="Column8" dataDxfId="18" totalsRowDxfId="17"/>
    <tableColumn id="35" name="VFD Installed or Not!" totalsRowFunction="custom" dataDxfId="16" totalsRowDxfId="15">
      <totalsRowFormula>COUNTIF(Table32[VFD Installed or Not!],"No")</totalsRowFormula>
    </tableColumn>
    <tableColumn id="21" name="Energy Saving for Installing VFD_x000a_[kWh/y]" totalsRowFunction="sum" dataDxfId="14" totalsRowDxfId="13" dataCellStyle="Percent">
      <calculatedColumnFormula>IF(Table32[[#This Row],[VFD Installed or Not!]]="No", IF(Table32[[#This Row],[Compressor Type]]="Centrifugal / Screw",Table32[[#This Row],[Off-load Energy Consumption
'[kWh/y']]]*0.7,"N/A"),"N/A")</calculatedColumnFormula>
    </tableColumn>
    <tableColumn id="19" name="Energy Saving for Installing VFD_x000a_[PKR/y]" totalsRowFunction="sum" dataDxfId="12" totalsRowDxfId="11" dataCellStyle="Percent">
      <calculatedColumnFormula>IF(Table32[[#This Row],[Energy Saving for Installing VFD
'[kWh/y']]]="N/A","N/A",Table32[[#This Row],[Energy Saving for Installing VFD
'[kWh/y']]]*$G$5)</calculatedColumnFormula>
    </tableColumn>
    <tableColumn id="24" name="Investment for VFD_x000a_[PKR]" totalsRowFunction="sum" dataDxfId="10" totalsRowDxfId="9"/>
    <tableColumn id="15" name="Payback Period_x000a_[months]" totalsRowFunction="custom" dataDxfId="8" totalsRowDxfId="7" dataCellStyle="Percent">
      <calculatedColumnFormula>IF(Table32[[#This Row],[Energy Saving for Installing VFD
'[PKR/y']]]="N/A","N/A", Table32[[#This Row],[Investment for VFD
'[PKR']]]*12/Table32[[#This Row],[Energy Saving for Installing VFD
'[PKR/y']]])</calculatedColumnFormula>
      <totalsRowFormula>IF(Table32[[#Totals],[Energy Saving for Installing VFD
'[PKR/y']]]=0,"N/A",Table32[[#Totals],[Investment for VFD
'[PKR']]]*12/Table32[[#Totals],[Energy Saving for Installing VFD
'[PKR/y']]])</totalsRowFormula>
    </tableColumn>
    <tableColumn id="25" name="Column5" dataDxfId="6" totalsRowDxfId="5"/>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tabSelected="1" workbookViewId="0">
      <selection activeCell="B3" sqref="B3:I3"/>
    </sheetView>
  </sheetViews>
  <sheetFormatPr defaultColWidth="0" defaultRowHeight="15" zeroHeight="1"/>
  <cols>
    <col min="1" max="1" width="3.85546875" style="3" customWidth="1"/>
    <col min="2" max="14" width="9.140625" style="100" customWidth="1"/>
    <col min="15" max="15" width="3.140625" style="3" customWidth="1"/>
    <col min="16" max="16384" width="9.140625" style="3" hidden="1"/>
  </cols>
  <sheetData>
    <row r="1" spans="2:14">
      <c r="B1" s="3"/>
      <c r="C1" s="3"/>
      <c r="D1" s="3"/>
      <c r="E1" s="3"/>
      <c r="F1" s="3"/>
      <c r="G1" s="3"/>
      <c r="H1" s="3"/>
      <c r="I1" s="3"/>
      <c r="J1" s="3"/>
      <c r="K1" s="3"/>
      <c r="L1" s="3"/>
      <c r="M1" s="3"/>
      <c r="N1" s="3"/>
    </row>
    <row r="2" spans="2:14">
      <c r="B2" s="3"/>
      <c r="C2" s="3"/>
      <c r="D2" s="3"/>
      <c r="E2" s="3"/>
      <c r="F2" s="3"/>
      <c r="G2" s="3"/>
      <c r="H2" s="3"/>
      <c r="I2" s="3"/>
      <c r="J2" s="3"/>
      <c r="K2" s="3"/>
      <c r="L2" s="3"/>
      <c r="M2" s="3"/>
      <c r="N2" s="3"/>
    </row>
    <row r="3" spans="2:14" ht="21">
      <c r="B3" s="15" t="s">
        <v>79</v>
      </c>
      <c r="C3" s="15"/>
      <c r="D3" s="15"/>
      <c r="E3" s="15"/>
      <c r="F3" s="15"/>
      <c r="G3" s="15"/>
      <c r="H3" s="15"/>
      <c r="I3" s="15"/>
      <c r="J3" s="6"/>
      <c r="K3" s="3"/>
      <c r="L3" s="3"/>
      <c r="M3" s="3"/>
      <c r="N3" s="3"/>
    </row>
    <row r="4" spans="2:14">
      <c r="B4" s="3"/>
      <c r="C4" s="3"/>
      <c r="D4" s="3"/>
      <c r="E4" s="3"/>
      <c r="F4" s="3"/>
      <c r="G4" s="3"/>
      <c r="H4" s="3"/>
      <c r="I4" s="3"/>
      <c r="J4" s="3"/>
      <c r="K4" s="3"/>
      <c r="L4" s="3"/>
      <c r="M4" s="3"/>
      <c r="N4" s="3"/>
    </row>
    <row r="5" spans="2:14">
      <c r="B5" s="3"/>
      <c r="C5" s="3"/>
      <c r="D5" s="3"/>
      <c r="E5" s="3"/>
      <c r="F5" s="3"/>
      <c r="G5" s="3"/>
      <c r="H5" s="3"/>
      <c r="I5" s="3"/>
      <c r="J5" s="3"/>
      <c r="K5" s="3"/>
      <c r="L5" s="3"/>
      <c r="M5" s="3"/>
      <c r="N5" s="3"/>
    </row>
    <row r="6" spans="2:14">
      <c r="B6" s="99" t="s">
        <v>6</v>
      </c>
      <c r="C6" s="99"/>
      <c r="D6" s="99"/>
      <c r="E6" s="99"/>
      <c r="F6" s="99"/>
      <c r="G6" s="99"/>
      <c r="H6" s="99"/>
      <c r="I6" s="99"/>
      <c r="J6" s="99"/>
      <c r="K6" s="99"/>
      <c r="L6" s="99"/>
      <c r="M6" s="99"/>
      <c r="N6" s="99"/>
    </row>
    <row r="7" spans="2:14">
      <c r="B7" s="99"/>
      <c r="C7" s="99"/>
      <c r="D7" s="99"/>
      <c r="E7" s="99"/>
      <c r="F7" s="99"/>
      <c r="G7" s="99"/>
      <c r="H7" s="99"/>
      <c r="I7" s="99"/>
      <c r="J7" s="99"/>
      <c r="K7" s="99"/>
      <c r="L7" s="99"/>
      <c r="M7" s="99"/>
      <c r="N7" s="99"/>
    </row>
    <row r="8" spans="2:14">
      <c r="B8" s="99"/>
      <c r="C8" s="99"/>
      <c r="D8" s="99"/>
      <c r="E8" s="99"/>
      <c r="F8" s="99"/>
      <c r="G8" s="99"/>
      <c r="H8" s="99"/>
      <c r="I8" s="99"/>
      <c r="J8" s="99"/>
      <c r="K8" s="99"/>
      <c r="L8" s="99"/>
      <c r="M8" s="99"/>
      <c r="N8" s="99"/>
    </row>
    <row r="9" spans="2:14">
      <c r="B9" s="99"/>
      <c r="C9" s="99"/>
      <c r="D9" s="99"/>
      <c r="E9" s="99"/>
      <c r="F9" s="99"/>
      <c r="G9" s="99"/>
      <c r="H9" s="99"/>
      <c r="I9" s="99"/>
      <c r="J9" s="99"/>
      <c r="K9" s="99"/>
      <c r="L9" s="99"/>
      <c r="M9" s="99"/>
      <c r="N9" s="99"/>
    </row>
    <row r="10" spans="2:14">
      <c r="B10" s="99"/>
      <c r="C10" s="99"/>
      <c r="D10" s="99"/>
      <c r="E10" s="99"/>
      <c r="F10" s="99"/>
      <c r="G10" s="99"/>
      <c r="H10" s="99"/>
      <c r="I10" s="99"/>
      <c r="J10" s="99"/>
      <c r="K10" s="99"/>
      <c r="L10" s="99"/>
      <c r="M10" s="99"/>
      <c r="N10" s="99"/>
    </row>
    <row r="11" spans="2:14">
      <c r="B11" s="99"/>
      <c r="C11" s="99"/>
      <c r="D11" s="99"/>
      <c r="E11" s="99"/>
      <c r="F11" s="99"/>
      <c r="G11" s="99"/>
      <c r="H11" s="99"/>
      <c r="I11" s="99"/>
      <c r="J11" s="99"/>
      <c r="K11" s="99"/>
      <c r="L11" s="99"/>
      <c r="M11" s="99"/>
      <c r="N11" s="99"/>
    </row>
    <row r="12" spans="2:14">
      <c r="B12" s="99" t="s">
        <v>73</v>
      </c>
      <c r="C12" s="99"/>
      <c r="D12" s="99"/>
      <c r="E12" s="99"/>
      <c r="F12" s="99"/>
      <c r="G12" s="99"/>
      <c r="H12" s="99"/>
      <c r="I12" s="99"/>
      <c r="J12" s="99"/>
      <c r="K12" s="99"/>
      <c r="L12" s="99"/>
      <c r="M12" s="99"/>
      <c r="N12" s="99"/>
    </row>
    <row r="13" spans="2:14">
      <c r="B13" s="99"/>
      <c r="C13" s="99"/>
      <c r="D13" s="99"/>
      <c r="E13" s="99"/>
      <c r="F13" s="99"/>
      <c r="G13" s="99"/>
      <c r="H13" s="99"/>
      <c r="I13" s="99"/>
      <c r="J13" s="99"/>
      <c r="K13" s="99"/>
      <c r="L13" s="99"/>
      <c r="M13" s="99"/>
      <c r="N13" s="99"/>
    </row>
    <row r="14" spans="2:14">
      <c r="B14" s="99"/>
      <c r="C14" s="99"/>
      <c r="D14" s="99"/>
      <c r="E14" s="99"/>
      <c r="F14" s="99"/>
      <c r="G14" s="99"/>
      <c r="H14" s="99"/>
      <c r="I14" s="99"/>
      <c r="J14" s="99"/>
      <c r="K14" s="99"/>
      <c r="L14" s="99"/>
      <c r="M14" s="99"/>
      <c r="N14" s="99"/>
    </row>
    <row r="15" spans="2:14">
      <c r="B15" s="99"/>
      <c r="C15" s="99"/>
      <c r="D15" s="99"/>
      <c r="E15" s="99"/>
      <c r="F15" s="99"/>
      <c r="G15" s="99"/>
      <c r="H15" s="99"/>
      <c r="I15" s="99"/>
      <c r="J15" s="99"/>
      <c r="K15" s="99"/>
      <c r="L15" s="99"/>
      <c r="M15" s="99"/>
      <c r="N15" s="99"/>
    </row>
    <row r="16" spans="2:14">
      <c r="B16" s="99" t="s">
        <v>77</v>
      </c>
      <c r="C16" s="99"/>
      <c r="D16" s="99"/>
      <c r="E16" s="99"/>
      <c r="F16" s="99"/>
      <c r="G16" s="99"/>
      <c r="H16" s="99"/>
      <c r="I16" s="99"/>
      <c r="J16" s="99"/>
      <c r="K16" s="99"/>
      <c r="L16" s="99"/>
      <c r="M16" s="99"/>
      <c r="N16" s="99"/>
    </row>
    <row r="17" spans="2:14">
      <c r="B17" s="99"/>
      <c r="C17" s="99"/>
      <c r="D17" s="99"/>
      <c r="E17" s="99"/>
      <c r="F17" s="99"/>
      <c r="G17" s="99"/>
      <c r="H17" s="99"/>
      <c r="I17" s="99"/>
      <c r="J17" s="99"/>
      <c r="K17" s="99"/>
      <c r="L17" s="99"/>
      <c r="M17" s="99"/>
      <c r="N17" s="99"/>
    </row>
    <row r="18" spans="2:14">
      <c r="B18" s="99"/>
      <c r="C18" s="99"/>
      <c r="D18" s="99"/>
      <c r="E18" s="99"/>
      <c r="F18" s="99"/>
      <c r="G18" s="99"/>
      <c r="H18" s="99"/>
      <c r="I18" s="99"/>
      <c r="J18" s="99"/>
      <c r="K18" s="99"/>
      <c r="L18" s="99"/>
      <c r="M18" s="99"/>
      <c r="N18" s="99"/>
    </row>
    <row r="19" spans="2:14">
      <c r="B19" s="99"/>
      <c r="C19" s="99"/>
      <c r="D19" s="99"/>
      <c r="E19" s="99"/>
      <c r="F19" s="99"/>
      <c r="G19" s="99"/>
      <c r="H19" s="99"/>
      <c r="I19" s="99"/>
      <c r="J19" s="99"/>
      <c r="K19" s="99"/>
      <c r="L19" s="99"/>
      <c r="M19" s="99"/>
      <c r="N19" s="99"/>
    </row>
    <row r="20" spans="2:14" ht="15" customHeight="1">
      <c r="B20" s="99" t="s">
        <v>74</v>
      </c>
      <c r="C20" s="99"/>
      <c r="D20" s="99"/>
      <c r="E20" s="99"/>
      <c r="F20" s="99"/>
      <c r="G20" s="99"/>
      <c r="H20" s="99"/>
      <c r="I20" s="99"/>
      <c r="J20" s="99"/>
      <c r="K20" s="99"/>
      <c r="L20" s="99"/>
      <c r="M20" s="99"/>
      <c r="N20" s="99"/>
    </row>
    <row r="21" spans="2:14">
      <c r="B21" s="99"/>
      <c r="C21" s="99"/>
      <c r="D21" s="99"/>
      <c r="E21" s="99"/>
      <c r="F21" s="99"/>
      <c r="G21" s="99"/>
      <c r="H21" s="99"/>
      <c r="I21" s="99"/>
      <c r="J21" s="99"/>
      <c r="K21" s="99"/>
      <c r="L21" s="99"/>
      <c r="M21" s="99"/>
      <c r="N21" s="99"/>
    </row>
    <row r="22" spans="2:14">
      <c r="B22" s="99"/>
      <c r="C22" s="99"/>
      <c r="D22" s="99"/>
      <c r="E22" s="99"/>
      <c r="F22" s="99"/>
      <c r="G22" s="99"/>
      <c r="H22" s="99"/>
      <c r="I22" s="99"/>
      <c r="J22" s="99"/>
      <c r="K22" s="99"/>
      <c r="L22" s="99"/>
      <c r="M22" s="99"/>
      <c r="N22" s="99"/>
    </row>
    <row r="23" spans="2:14">
      <c r="B23" s="99"/>
      <c r="C23" s="99"/>
      <c r="D23" s="99"/>
      <c r="E23" s="99"/>
      <c r="F23" s="99"/>
      <c r="G23" s="99"/>
      <c r="H23" s="99"/>
      <c r="I23" s="99"/>
      <c r="J23" s="99"/>
      <c r="K23" s="99"/>
      <c r="L23" s="99"/>
      <c r="M23" s="99"/>
      <c r="N23" s="99"/>
    </row>
    <row r="24" spans="2:14">
      <c r="B24" s="99"/>
      <c r="C24" s="99"/>
      <c r="D24" s="99"/>
      <c r="E24" s="99"/>
      <c r="F24" s="99"/>
      <c r="G24" s="99"/>
      <c r="H24" s="99"/>
      <c r="I24" s="99"/>
      <c r="J24" s="99"/>
      <c r="K24" s="99"/>
      <c r="L24" s="99"/>
      <c r="M24" s="99"/>
      <c r="N24" s="99"/>
    </row>
    <row r="25" spans="2:14">
      <c r="B25" s="99"/>
      <c r="C25" s="99"/>
      <c r="D25" s="99"/>
      <c r="E25" s="99"/>
      <c r="F25" s="99"/>
      <c r="G25" s="99"/>
      <c r="H25" s="99"/>
      <c r="I25" s="99"/>
      <c r="J25" s="99"/>
      <c r="K25" s="99"/>
      <c r="L25" s="99"/>
      <c r="M25" s="99"/>
      <c r="N25" s="99"/>
    </row>
    <row r="26" spans="2:14">
      <c r="B26" s="99"/>
      <c r="C26" s="99"/>
      <c r="D26" s="99"/>
      <c r="E26" s="99"/>
      <c r="F26" s="99"/>
      <c r="G26" s="99"/>
      <c r="H26" s="99"/>
      <c r="I26" s="99"/>
      <c r="J26" s="99"/>
      <c r="K26" s="99"/>
      <c r="L26" s="99"/>
      <c r="M26" s="99"/>
      <c r="N26" s="99"/>
    </row>
    <row r="27" spans="2:14">
      <c r="B27" s="99"/>
      <c r="C27" s="99"/>
      <c r="D27" s="99"/>
      <c r="E27" s="99"/>
      <c r="F27" s="99"/>
      <c r="G27" s="99"/>
      <c r="H27" s="99"/>
      <c r="I27" s="99"/>
      <c r="J27" s="99"/>
      <c r="K27" s="99"/>
      <c r="L27" s="99"/>
      <c r="M27" s="99"/>
      <c r="N27" s="99"/>
    </row>
    <row r="28" spans="2:14">
      <c r="B28" s="99"/>
      <c r="C28" s="99"/>
      <c r="D28" s="99"/>
      <c r="E28" s="99"/>
      <c r="F28" s="99"/>
      <c r="G28" s="99"/>
      <c r="H28" s="99"/>
      <c r="I28" s="99"/>
      <c r="J28" s="99"/>
      <c r="K28" s="99"/>
      <c r="L28" s="99"/>
      <c r="M28" s="99"/>
      <c r="N28" s="99"/>
    </row>
    <row r="29" spans="2:14">
      <c r="B29" s="99"/>
      <c r="C29" s="99"/>
      <c r="D29" s="99"/>
      <c r="E29" s="99"/>
      <c r="F29" s="99"/>
      <c r="G29" s="99"/>
      <c r="H29" s="99"/>
      <c r="I29" s="99"/>
      <c r="J29" s="99"/>
      <c r="K29" s="99"/>
      <c r="L29" s="99"/>
      <c r="M29" s="99"/>
      <c r="N29" s="99"/>
    </row>
    <row r="30" spans="2:14" ht="15" customHeight="1">
      <c r="B30" s="99" t="s">
        <v>75</v>
      </c>
      <c r="C30" s="99"/>
      <c r="D30" s="99"/>
      <c r="E30" s="99"/>
      <c r="F30" s="99"/>
      <c r="G30" s="99"/>
      <c r="H30" s="99"/>
      <c r="I30" s="99"/>
      <c r="J30" s="99"/>
      <c r="K30" s="99"/>
      <c r="L30" s="99"/>
      <c r="M30" s="99"/>
      <c r="N30" s="99"/>
    </row>
    <row r="31" spans="2:14">
      <c r="B31" s="99"/>
      <c r="C31" s="99"/>
      <c r="D31" s="99"/>
      <c r="E31" s="99"/>
      <c r="F31" s="99"/>
      <c r="G31" s="99"/>
      <c r="H31" s="99"/>
      <c r="I31" s="99"/>
      <c r="J31" s="99"/>
      <c r="K31" s="99"/>
      <c r="L31" s="99"/>
      <c r="M31" s="99"/>
      <c r="N31" s="99"/>
    </row>
    <row r="32" spans="2:14">
      <c r="B32" s="99"/>
      <c r="C32" s="99"/>
      <c r="D32" s="99"/>
      <c r="E32" s="99"/>
      <c r="F32" s="99"/>
      <c r="G32" s="99"/>
      <c r="H32" s="99"/>
      <c r="I32" s="99"/>
      <c r="J32" s="99"/>
      <c r="K32" s="99"/>
      <c r="L32" s="99"/>
      <c r="M32" s="99"/>
      <c r="N32" s="99"/>
    </row>
    <row r="33" spans="2:14">
      <c r="B33" s="99"/>
      <c r="C33" s="99"/>
      <c r="D33" s="99"/>
      <c r="E33" s="99"/>
      <c r="F33" s="99"/>
      <c r="G33" s="99"/>
      <c r="H33" s="99"/>
      <c r="I33" s="99"/>
      <c r="J33" s="99"/>
      <c r="K33" s="99"/>
      <c r="L33" s="99"/>
      <c r="M33" s="99"/>
      <c r="N33" s="99"/>
    </row>
    <row r="34" spans="2:14">
      <c r="B34" s="99"/>
      <c r="C34" s="99"/>
      <c r="D34" s="99"/>
      <c r="E34" s="99"/>
      <c r="F34" s="99"/>
      <c r="G34" s="99"/>
      <c r="H34" s="99"/>
      <c r="I34" s="99"/>
      <c r="J34" s="99"/>
      <c r="K34" s="99"/>
      <c r="L34" s="99"/>
      <c r="M34" s="99"/>
      <c r="N34" s="99"/>
    </row>
    <row r="35" spans="2:14">
      <c r="B35" s="99"/>
      <c r="C35" s="99"/>
      <c r="D35" s="99"/>
      <c r="E35" s="99"/>
      <c r="F35" s="99"/>
      <c r="G35" s="99"/>
      <c r="H35" s="99"/>
      <c r="I35" s="99"/>
      <c r="J35" s="99"/>
      <c r="K35" s="99"/>
      <c r="L35" s="99"/>
      <c r="M35" s="99"/>
      <c r="N35" s="99"/>
    </row>
    <row r="36" spans="2:14">
      <c r="B36" s="99"/>
      <c r="C36" s="99"/>
      <c r="D36" s="99"/>
      <c r="E36" s="99"/>
      <c r="F36" s="99"/>
      <c r="G36" s="99"/>
      <c r="H36" s="99"/>
      <c r="I36" s="99"/>
      <c r="J36" s="99"/>
      <c r="K36" s="99"/>
      <c r="L36" s="99"/>
      <c r="M36" s="99"/>
      <c r="N36" s="99"/>
    </row>
    <row r="37" spans="2:14">
      <c r="B37" s="99"/>
      <c r="C37" s="99"/>
      <c r="D37" s="99"/>
      <c r="E37" s="99"/>
      <c r="F37" s="99"/>
      <c r="G37" s="99"/>
      <c r="H37" s="99"/>
      <c r="I37" s="99"/>
      <c r="J37" s="99"/>
      <c r="K37" s="99"/>
      <c r="L37" s="99"/>
      <c r="M37" s="99"/>
      <c r="N37" s="99"/>
    </row>
    <row r="38" spans="2:14">
      <c r="B38" s="99"/>
      <c r="C38" s="99"/>
      <c r="D38" s="99"/>
      <c r="E38" s="99"/>
      <c r="F38" s="99"/>
      <c r="G38" s="99"/>
      <c r="H38" s="99"/>
      <c r="I38" s="99"/>
      <c r="J38" s="99"/>
      <c r="K38" s="99"/>
      <c r="L38" s="99"/>
      <c r="M38" s="99"/>
      <c r="N38" s="99"/>
    </row>
    <row r="39" spans="2:14" ht="15" customHeight="1">
      <c r="B39" s="99" t="s">
        <v>76</v>
      </c>
      <c r="C39" s="99"/>
      <c r="D39" s="99"/>
      <c r="E39" s="99"/>
      <c r="F39" s="99"/>
      <c r="G39" s="99"/>
      <c r="H39" s="99"/>
      <c r="I39" s="99"/>
      <c r="J39" s="99"/>
      <c r="K39" s="99"/>
      <c r="L39" s="99"/>
      <c r="M39" s="99"/>
      <c r="N39" s="99"/>
    </row>
    <row r="40" spans="2:14">
      <c r="B40" s="99"/>
      <c r="C40" s="99"/>
      <c r="D40" s="99"/>
      <c r="E40" s="99"/>
      <c r="F40" s="99"/>
      <c r="G40" s="99"/>
      <c r="H40" s="99"/>
      <c r="I40" s="99"/>
      <c r="J40" s="99"/>
      <c r="K40" s="99"/>
      <c r="L40" s="99"/>
      <c r="M40" s="99"/>
      <c r="N40" s="99"/>
    </row>
    <row r="41" spans="2:14">
      <c r="B41" s="99"/>
      <c r="C41" s="99"/>
      <c r="D41" s="99"/>
      <c r="E41" s="99"/>
      <c r="F41" s="99"/>
      <c r="G41" s="99"/>
      <c r="H41" s="99"/>
      <c r="I41" s="99"/>
      <c r="J41" s="99"/>
      <c r="K41" s="99"/>
      <c r="L41" s="99"/>
      <c r="M41" s="99"/>
      <c r="N41" s="99"/>
    </row>
    <row r="42" spans="2:14">
      <c r="B42" s="99"/>
      <c r="C42" s="99"/>
      <c r="D42" s="99"/>
      <c r="E42" s="99"/>
      <c r="F42" s="99"/>
      <c r="G42" s="99"/>
      <c r="H42" s="99"/>
      <c r="I42" s="99"/>
      <c r="J42" s="99"/>
      <c r="K42" s="99"/>
      <c r="L42" s="99"/>
      <c r="M42" s="99"/>
      <c r="N42" s="99"/>
    </row>
    <row r="43" spans="2:14">
      <c r="B43" s="99"/>
      <c r="C43" s="99"/>
      <c r="D43" s="99"/>
      <c r="E43" s="99"/>
      <c r="F43" s="99"/>
      <c r="G43" s="99"/>
      <c r="H43" s="99"/>
      <c r="I43" s="99"/>
      <c r="J43" s="99"/>
      <c r="K43" s="99"/>
      <c r="L43" s="99"/>
      <c r="M43" s="99"/>
      <c r="N43" s="99"/>
    </row>
    <row r="44" spans="2:14">
      <c r="B44" s="99"/>
      <c r="C44" s="99"/>
      <c r="D44" s="99"/>
      <c r="E44" s="99"/>
      <c r="F44" s="99"/>
      <c r="G44" s="99"/>
      <c r="H44" s="99"/>
      <c r="I44" s="99"/>
      <c r="J44" s="99"/>
      <c r="K44" s="99"/>
      <c r="L44" s="99"/>
      <c r="M44" s="99"/>
      <c r="N44" s="99"/>
    </row>
    <row r="45" spans="2:14">
      <c r="B45" s="99"/>
      <c r="C45" s="99"/>
      <c r="D45" s="99"/>
      <c r="E45" s="99"/>
      <c r="F45" s="99"/>
      <c r="G45" s="99"/>
      <c r="H45" s="99"/>
      <c r="I45" s="99"/>
      <c r="J45" s="99"/>
      <c r="K45" s="99"/>
      <c r="L45" s="99"/>
      <c r="M45" s="99"/>
      <c r="N45" s="99"/>
    </row>
    <row r="46" spans="2:14">
      <c r="B46" s="99"/>
      <c r="C46" s="99"/>
      <c r="D46" s="99"/>
      <c r="E46" s="99"/>
      <c r="F46" s="99"/>
      <c r="G46" s="99"/>
      <c r="H46" s="99"/>
      <c r="I46" s="99"/>
      <c r="J46" s="99"/>
      <c r="K46" s="99"/>
      <c r="L46" s="99"/>
      <c r="M46" s="99"/>
      <c r="N46" s="99"/>
    </row>
    <row r="47" spans="2:14" ht="15" customHeight="1">
      <c r="B47" s="99" t="s">
        <v>7</v>
      </c>
      <c r="C47" s="99"/>
      <c r="D47" s="99"/>
      <c r="E47" s="99"/>
      <c r="F47" s="99"/>
      <c r="G47" s="99"/>
      <c r="H47" s="99"/>
      <c r="I47" s="99"/>
      <c r="J47" s="99"/>
      <c r="K47" s="99"/>
      <c r="L47" s="99"/>
      <c r="M47" s="99"/>
      <c r="N47" s="99"/>
    </row>
    <row r="48" spans="2:14" ht="15" customHeight="1">
      <c r="B48" s="99"/>
      <c r="C48" s="99"/>
      <c r="D48" s="99"/>
      <c r="E48" s="99"/>
      <c r="F48" s="99"/>
      <c r="G48" s="99"/>
      <c r="H48" s="99"/>
      <c r="I48" s="99"/>
      <c r="J48" s="99"/>
      <c r="K48" s="99"/>
      <c r="L48" s="99"/>
      <c r="M48" s="99"/>
      <c r="N48" s="99"/>
    </row>
    <row r="49" spans="2:14" ht="15" customHeight="1">
      <c r="B49" s="99"/>
      <c r="C49" s="99"/>
      <c r="D49" s="99"/>
      <c r="E49" s="99"/>
      <c r="F49" s="99"/>
      <c r="G49" s="99"/>
      <c r="H49" s="99"/>
      <c r="I49" s="99"/>
      <c r="J49" s="99"/>
      <c r="K49" s="99"/>
      <c r="L49" s="99"/>
      <c r="M49" s="99"/>
      <c r="N49" s="99"/>
    </row>
    <row r="50" spans="2:14" ht="15" customHeight="1">
      <c r="B50" s="99" t="s">
        <v>78</v>
      </c>
      <c r="C50" s="99"/>
      <c r="D50" s="99"/>
      <c r="E50" s="99"/>
      <c r="F50" s="99"/>
      <c r="G50" s="99"/>
      <c r="I50" s="99" t="s">
        <v>8</v>
      </c>
      <c r="J50" s="99"/>
      <c r="K50" s="99"/>
      <c r="L50" s="99"/>
      <c r="M50" s="99"/>
      <c r="N50" s="99"/>
    </row>
    <row r="51" spans="2:14">
      <c r="B51" s="99"/>
      <c r="C51" s="99"/>
      <c r="D51" s="99"/>
      <c r="E51" s="99"/>
      <c r="F51" s="99"/>
      <c r="G51" s="99"/>
      <c r="I51" s="99"/>
      <c r="J51" s="99"/>
      <c r="K51" s="99"/>
      <c r="L51" s="99"/>
      <c r="M51" s="99"/>
      <c r="N51" s="99"/>
    </row>
    <row r="52" spans="2:14">
      <c r="B52" s="99"/>
      <c r="C52" s="99"/>
      <c r="D52" s="99"/>
      <c r="E52" s="99"/>
      <c r="F52" s="99"/>
      <c r="G52" s="99"/>
      <c r="I52" s="99"/>
      <c r="J52" s="99"/>
      <c r="K52" s="99"/>
      <c r="L52" s="99"/>
      <c r="M52" s="99"/>
      <c r="N52" s="99"/>
    </row>
    <row r="53" spans="2:14">
      <c r="B53" s="99"/>
      <c r="C53" s="99"/>
      <c r="D53" s="99"/>
      <c r="E53" s="99"/>
      <c r="F53" s="99"/>
      <c r="G53" s="99"/>
      <c r="I53" s="99"/>
      <c r="J53" s="99"/>
      <c r="K53" s="99"/>
      <c r="L53" s="99"/>
      <c r="M53" s="99"/>
      <c r="N53" s="99"/>
    </row>
    <row r="54" spans="2:14">
      <c r="B54" s="99"/>
      <c r="C54" s="99"/>
      <c r="D54" s="99"/>
      <c r="E54" s="99"/>
      <c r="F54" s="99"/>
      <c r="G54" s="99"/>
      <c r="I54" s="99"/>
      <c r="J54" s="99"/>
      <c r="K54" s="99"/>
      <c r="L54" s="99"/>
      <c r="M54" s="99"/>
      <c r="N54" s="99"/>
    </row>
    <row r="55" spans="2:14">
      <c r="B55" s="99"/>
      <c r="C55" s="99"/>
      <c r="D55" s="99"/>
      <c r="E55" s="99"/>
      <c r="F55" s="99"/>
      <c r="G55" s="99"/>
      <c r="I55" s="99"/>
      <c r="J55" s="99"/>
      <c r="K55" s="99"/>
      <c r="L55" s="99"/>
      <c r="M55" s="99"/>
      <c r="N55" s="99"/>
    </row>
    <row r="56" spans="2:14">
      <c r="B56" s="99"/>
      <c r="C56" s="99"/>
      <c r="D56" s="99"/>
      <c r="E56" s="99"/>
      <c r="F56" s="99"/>
      <c r="G56" s="99"/>
      <c r="I56" s="99"/>
      <c r="J56" s="99"/>
      <c r="K56" s="99"/>
      <c r="L56" s="99"/>
      <c r="M56" s="99"/>
      <c r="N56" s="99"/>
    </row>
    <row r="57" spans="2:14" hidden="1"/>
    <row r="58" spans="2:14" hidden="1"/>
    <row r="59" spans="2:14" hidden="1"/>
    <row r="60" spans="2:14" hidden="1"/>
    <row r="61" spans="2:14" hidden="1"/>
    <row r="62" spans="2:14" hidden="1"/>
    <row r="63" spans="2:14" hidden="1"/>
    <row r="64" spans="2:14" hidden="1"/>
  </sheetData>
  <sheetProtection password="C5AA" sheet="1" objects="1" scenarios="1"/>
  <mergeCells count="10">
    <mergeCell ref="B30:N38"/>
    <mergeCell ref="B39:N46"/>
    <mergeCell ref="B47:N49"/>
    <mergeCell ref="B50:G56"/>
    <mergeCell ref="I50:N56"/>
    <mergeCell ref="B6:N11"/>
    <mergeCell ref="B12:N15"/>
    <mergeCell ref="B20:N29"/>
    <mergeCell ref="B16:N19"/>
    <mergeCell ref="B3:I3"/>
  </mergeCells>
  <pageMargins left="0.25" right="0.25"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V50"/>
  <sheetViews>
    <sheetView workbookViewId="0">
      <pane xSplit="3" ySplit="11" topLeftCell="D12" activePane="bottomRight" state="frozen"/>
      <selection pane="topRight" activeCell="D1" sqref="D1"/>
      <selection pane="bottomLeft" activeCell="A9" sqref="A9"/>
      <selection pane="bottomRight" activeCell="F16" sqref="F16"/>
    </sheetView>
  </sheetViews>
  <sheetFormatPr defaultColWidth="0" defaultRowHeight="15" zeroHeight="1"/>
  <cols>
    <col min="1" max="1" width="2.28515625" style="1" customWidth="1"/>
    <col min="2" max="2" width="6.28515625" style="1" customWidth="1"/>
    <col min="3" max="4" width="21.7109375" style="1" customWidth="1"/>
    <col min="5" max="5" width="11.42578125" style="1" bestFit="1" customWidth="1"/>
    <col min="6" max="12" width="11.85546875" style="1" customWidth="1"/>
    <col min="13" max="13" width="0.42578125" style="54" customWidth="1"/>
    <col min="14" max="19" width="13.42578125" style="1" customWidth="1"/>
    <col min="20" max="20" width="0.42578125" style="54" customWidth="1"/>
    <col min="21" max="21" width="12" style="1" customWidth="1"/>
    <col min="22" max="22" width="11.85546875" style="1" bestFit="1" customWidth="1"/>
    <col min="23" max="23" width="11.7109375" style="1" customWidth="1"/>
    <col min="24" max="24" width="12.7109375" style="1" bestFit="1" customWidth="1"/>
    <col min="25" max="25" width="11.140625" style="1" bestFit="1" customWidth="1"/>
    <col min="26" max="26" width="0.42578125" style="54" customWidth="1"/>
    <col min="27" max="16384" width="9.140625" style="1" hidden="1"/>
  </cols>
  <sheetData>
    <row r="1" spans="1:27" s="29" customFormat="1">
      <c r="M1" s="30"/>
      <c r="T1" s="30"/>
      <c r="Z1" s="30"/>
    </row>
    <row r="2" spans="1:27" s="31" customFormat="1" ht="15" customHeight="1">
      <c r="D2" s="32" t="s">
        <v>43</v>
      </c>
      <c r="E2" s="32"/>
      <c r="F2" s="32"/>
      <c r="G2" s="32"/>
      <c r="M2" s="33"/>
      <c r="T2" s="33"/>
      <c r="Z2" s="33"/>
    </row>
    <row r="3" spans="1:27" s="31" customFormat="1" ht="15" customHeight="1">
      <c r="C3" s="5"/>
      <c r="D3" s="32"/>
      <c r="E3" s="32"/>
      <c r="F3" s="32"/>
      <c r="G3" s="32"/>
      <c r="M3" s="33"/>
      <c r="T3" s="33"/>
      <c r="Z3" s="33"/>
    </row>
    <row r="4" spans="1:27" s="31" customFormat="1" ht="12" customHeight="1">
      <c r="C4" s="5"/>
      <c r="D4" s="5"/>
      <c r="E4" s="5"/>
      <c r="F4" s="34"/>
      <c r="G4" s="34"/>
      <c r="M4" s="33"/>
      <c r="T4" s="33"/>
      <c r="Z4" s="33"/>
    </row>
    <row r="5" spans="1:27" s="31" customFormat="1" ht="15" customHeight="1">
      <c r="D5" s="22" t="s">
        <v>45</v>
      </c>
      <c r="E5" s="23"/>
      <c r="F5" s="23"/>
      <c r="G5" s="35"/>
      <c r="H5" s="36" t="s">
        <v>4</v>
      </c>
      <c r="K5" s="37"/>
      <c r="L5" s="37"/>
      <c r="M5" s="33"/>
      <c r="N5" s="37"/>
      <c r="O5" s="37"/>
      <c r="P5" s="37"/>
      <c r="Q5" s="37"/>
      <c r="R5" s="37"/>
      <c r="S5" s="37"/>
      <c r="T5" s="33"/>
      <c r="Z5" s="33"/>
    </row>
    <row r="6" spans="1:27" s="31" customFormat="1" ht="15" customHeight="1">
      <c r="D6" s="25" t="s">
        <v>47</v>
      </c>
      <c r="E6" s="26"/>
      <c r="F6" s="26"/>
      <c r="G6" s="35"/>
      <c r="H6" s="36" t="s">
        <v>20</v>
      </c>
      <c r="K6" s="37"/>
      <c r="L6" s="37"/>
      <c r="M6" s="33"/>
      <c r="N6" s="37"/>
      <c r="O6" s="37"/>
      <c r="P6" s="37"/>
      <c r="Q6" s="37"/>
      <c r="R6" s="37"/>
      <c r="S6" s="37"/>
      <c r="T6" s="33"/>
      <c r="Z6" s="33"/>
    </row>
    <row r="7" spans="1:27" s="31" customFormat="1" ht="15" hidden="1" customHeight="1">
      <c r="D7" s="27" t="s">
        <v>46</v>
      </c>
      <c r="E7" s="27"/>
      <c r="F7" s="27"/>
      <c r="G7" s="38">
        <f>$G$6*MAX(Table3[Annual Operation
'[hrs/y']])</f>
        <v>0</v>
      </c>
      <c r="H7" s="36" t="s">
        <v>5</v>
      </c>
      <c r="K7" s="37"/>
      <c r="L7" s="37"/>
      <c r="M7" s="33"/>
      <c r="N7" s="37"/>
      <c r="O7" s="37"/>
      <c r="P7" s="37"/>
      <c r="Q7" s="37"/>
      <c r="R7" s="37"/>
      <c r="S7" s="37"/>
      <c r="T7" s="33"/>
      <c r="Z7" s="33"/>
    </row>
    <row r="8" spans="1:27" s="31" customFormat="1" ht="15" hidden="1" customHeight="1">
      <c r="D8" s="24" t="s">
        <v>46</v>
      </c>
      <c r="E8" s="24"/>
      <c r="F8" s="24"/>
      <c r="G8" s="38">
        <f>$G$7*$G$5</f>
        <v>0</v>
      </c>
      <c r="H8" s="36" t="s">
        <v>48</v>
      </c>
      <c r="K8" s="37"/>
      <c r="L8" s="37"/>
      <c r="M8" s="33"/>
      <c r="N8" s="37"/>
      <c r="O8" s="37"/>
      <c r="P8" s="37"/>
      <c r="Q8" s="37"/>
      <c r="R8" s="37"/>
      <c r="S8" s="37"/>
      <c r="T8" s="33"/>
      <c r="Z8" s="33"/>
    </row>
    <row r="9" spans="1:27" s="31" customFormat="1" ht="6.75" customHeight="1">
      <c r="C9" s="5"/>
      <c r="D9" s="5"/>
      <c r="E9" s="5"/>
      <c r="F9" s="37"/>
      <c r="G9" s="37"/>
      <c r="M9" s="33"/>
      <c r="T9" s="33"/>
      <c r="Z9" s="33"/>
    </row>
    <row r="10" spans="1:27" s="29" customFormat="1" ht="15" customHeight="1">
      <c r="E10" s="39" t="s">
        <v>42</v>
      </c>
      <c r="F10" s="39"/>
      <c r="G10" s="39"/>
      <c r="H10" s="39"/>
      <c r="I10" s="39"/>
      <c r="J10" s="39"/>
      <c r="K10" s="39"/>
      <c r="L10" s="39"/>
      <c r="M10" s="30"/>
      <c r="N10" s="39" t="s">
        <v>41</v>
      </c>
      <c r="O10" s="39"/>
      <c r="P10" s="39"/>
      <c r="Q10" s="39"/>
      <c r="R10" s="39"/>
      <c r="S10" s="39"/>
      <c r="T10" s="30"/>
      <c r="U10" s="39" t="s">
        <v>40</v>
      </c>
      <c r="V10" s="39"/>
      <c r="W10" s="39"/>
      <c r="X10" s="39"/>
      <c r="Y10" s="39"/>
      <c r="Z10" s="30"/>
    </row>
    <row r="11" spans="1:27" ht="78" customHeight="1">
      <c r="A11" s="29"/>
      <c r="B11" s="1" t="s">
        <v>2</v>
      </c>
      <c r="C11" s="1" t="s">
        <v>21</v>
      </c>
      <c r="D11" s="1" t="s">
        <v>33</v>
      </c>
      <c r="E11" s="1" t="s">
        <v>49</v>
      </c>
      <c r="F11" s="1" t="s">
        <v>3</v>
      </c>
      <c r="G11" s="1" t="s">
        <v>9</v>
      </c>
      <c r="H11" s="1" t="s">
        <v>25</v>
      </c>
      <c r="I11" s="1" t="s">
        <v>26</v>
      </c>
      <c r="J11" s="1" t="s">
        <v>0</v>
      </c>
      <c r="K11" s="1" t="s">
        <v>23</v>
      </c>
      <c r="L11" s="2" t="s">
        <v>24</v>
      </c>
      <c r="M11" s="11" t="s">
        <v>22</v>
      </c>
      <c r="N11" s="2" t="s">
        <v>31</v>
      </c>
      <c r="O11" s="2" t="s">
        <v>29</v>
      </c>
      <c r="P11" s="2" t="s">
        <v>30</v>
      </c>
      <c r="Q11" s="2" t="s">
        <v>32</v>
      </c>
      <c r="R11" s="2" t="s">
        <v>27</v>
      </c>
      <c r="S11" s="2" t="s">
        <v>28</v>
      </c>
      <c r="T11" s="11" t="s">
        <v>16</v>
      </c>
      <c r="U11" s="1" t="s">
        <v>12</v>
      </c>
      <c r="V11" s="2" t="s">
        <v>11</v>
      </c>
      <c r="W11" s="2" t="s">
        <v>37</v>
      </c>
      <c r="X11" s="1" t="s">
        <v>38</v>
      </c>
      <c r="Y11" s="2" t="s">
        <v>17</v>
      </c>
      <c r="Z11" s="11" t="s">
        <v>15</v>
      </c>
      <c r="AA11" s="29"/>
    </row>
    <row r="12" spans="1:27">
      <c r="A12" s="29"/>
      <c r="B12" s="40" t="str">
        <f>IF(Table3[[#This Row],[Rated Motor Power
'[kW']]]&gt;0,ROW(Table3[[#This Row],[Compressor Code
'[Identity']]])-ROW(Table3[[#Headers],[Compressor Code
'[Identity']]]),"")</f>
        <v/>
      </c>
      <c r="C12" s="41"/>
      <c r="D12" s="41"/>
      <c r="E12" s="42"/>
      <c r="F12" s="42"/>
      <c r="G12" s="43"/>
      <c r="H12" s="42"/>
      <c r="I12" s="42"/>
      <c r="J12" s="42"/>
      <c r="K12" s="42"/>
      <c r="L12" s="44" t="b">
        <f>IF(Table3[[#This Row],[Compressor Type]]="Reciprocating",1,IF(Table3[[#This Row],[Annual Operation
'[hrs/y']]]&gt;0,Table3[[#This Row],[On-load Operation
'[hrs/y']]]/Table3[[#This Row],[Annual Operation
'[hrs/y']]]))</f>
        <v>0</v>
      </c>
      <c r="M12" s="45"/>
      <c r="N12" s="56">
        <f>IF(Table3[[#This Row],[Compressor Type]]="Reciprocating",Table3[[#This Row],[Annual Operation
'[hrs/y']]]*Table3[[#This Row],[On-load Motor Power
'[kW']]],((Table3[[#This Row],[On-load Motor Power
'[kW']]]*Table3[[#This Row],[On-load Operation
'[hrs/y']]])+Table3[[#This Row],[Off-load Motor Power
'[kW']]]*(Table3[[#This Row],[Annual Operation
'[hrs/y']]]-Table3[[#This Row],[On-load Operation
'[hrs/y']]])))</f>
        <v>0</v>
      </c>
      <c r="O12" s="56">
        <f>Table3[[#This Row],[Total Energy Consumption
'[kWh/y']]]*Table3[[#This Row],[Load Factor
'[%']]]</f>
        <v>0</v>
      </c>
      <c r="P12" s="56">
        <f>Table3[[#This Row],[Total Energy Consumption
'[kWh/y']]]-Table3[[#This Row],[On-load Energy Consumption
'[kWh/y']]]</f>
        <v>0</v>
      </c>
      <c r="Q12" s="56">
        <f>Table3[[#This Row],[Total Energy Consumption
'[kWh/y']]]*$G$5</f>
        <v>0</v>
      </c>
      <c r="R12" s="56">
        <f>Table3[[#This Row],[On-load Energy Consumption
'[kWh/y']]]*$G$5</f>
        <v>0</v>
      </c>
      <c r="S12" s="56">
        <f>Table3[[#This Row],[Off-load Energy Consumption
'[kWh/y']]]*$G$5</f>
        <v>0</v>
      </c>
      <c r="T12" s="45"/>
      <c r="U12" s="42"/>
      <c r="V12" s="59" t="str">
        <f>IF(Table3[[#This Row],[VFD Installed or Not!]]="No", IF(Table3[[#This Row],[Compressor Type]]="Centrifugal / Screw",Table3[[#This Row],[Off-load Energy Consumption
'[kWh/y']]]*0.7,"N/A"),"N/A")</f>
        <v>N/A</v>
      </c>
      <c r="W12" s="60" t="str">
        <f>IF(Table3[[#This Row],[Energy Saving for Installing VFD
'[kWh/y']]]="N/A","N/A",Table3[[#This Row],[Energy Saving for Installing VFD
'[kWh/y']]]*$G$5)</f>
        <v>N/A</v>
      </c>
      <c r="X12" s="61"/>
      <c r="Y12" s="60" t="str">
        <f>IF(Table3[[#This Row],[Energy Saving for Installing VFD
'[PKR/y']]]="N/A","N/A", Table3[[#This Row],[Investment for VFD
'[PKR']]]*12/Table3[[#This Row],[Energy Saving for Installing VFD
'[PKR/y']]])</f>
        <v>N/A</v>
      </c>
      <c r="Z12" s="46"/>
      <c r="AA12" s="29"/>
    </row>
    <row r="13" spans="1:27">
      <c r="A13" s="29"/>
      <c r="B13" s="40" t="str">
        <f>IF(Table3[[#This Row],[Rated Motor Power
'[kW']]]&gt;0,ROW(Table3[[#This Row],[Compressor Code
'[Identity']]])-ROW(Table3[[#Headers],[Compressor Code
'[Identity']]]),"")</f>
        <v/>
      </c>
      <c r="C13" s="41"/>
      <c r="D13" s="41"/>
      <c r="E13" s="42"/>
      <c r="F13" s="42"/>
      <c r="G13" s="43"/>
      <c r="H13" s="42"/>
      <c r="I13" s="42"/>
      <c r="J13" s="42"/>
      <c r="K13" s="42"/>
      <c r="L13" s="44" t="b">
        <f>IF(Table3[[#This Row],[Compressor Type]]="Reciprocating",1,IF(Table3[[#This Row],[Annual Operation
'[hrs/y']]]&gt;0,Table3[[#This Row],[On-load Operation
'[hrs/y']]]/Table3[[#This Row],[Annual Operation
'[hrs/y']]]))</f>
        <v>0</v>
      </c>
      <c r="M13" s="45"/>
      <c r="N13" s="56">
        <f>IF(Table3[[#This Row],[Compressor Type]]="Reciprocating",Table3[[#This Row],[Annual Operation
'[hrs/y']]]*Table3[[#This Row],[On-load Motor Power
'[kW']]],((Table3[[#This Row],[On-load Motor Power
'[kW']]]*Table3[[#This Row],[On-load Operation
'[hrs/y']]])+Table3[[#This Row],[Off-load Motor Power
'[kW']]]*(Table3[[#This Row],[Annual Operation
'[hrs/y']]]-Table3[[#This Row],[On-load Operation
'[hrs/y']]])))</f>
        <v>0</v>
      </c>
      <c r="O13" s="56">
        <f>Table3[[#This Row],[Total Energy Consumption
'[kWh/y']]]*Table3[[#This Row],[Load Factor
'[%']]]</f>
        <v>0</v>
      </c>
      <c r="P13" s="56">
        <f>Table3[[#This Row],[Total Energy Consumption
'[kWh/y']]]-Table3[[#This Row],[On-load Energy Consumption
'[kWh/y']]]</f>
        <v>0</v>
      </c>
      <c r="Q13" s="56">
        <f>Table3[[#This Row],[Total Energy Consumption
'[kWh/y']]]*$G$5</f>
        <v>0</v>
      </c>
      <c r="R13" s="56">
        <f>Table3[[#This Row],[On-load Energy Consumption
'[kWh/y']]]*$G$5</f>
        <v>0</v>
      </c>
      <c r="S13" s="56">
        <f>Table3[[#This Row],[Off-load Energy Consumption
'[kWh/y']]]*$G$5</f>
        <v>0</v>
      </c>
      <c r="T13" s="45"/>
      <c r="U13" s="42"/>
      <c r="V13" s="59" t="str">
        <f>IF(Table3[[#This Row],[VFD Installed or Not!]]="No", IF(Table3[[#This Row],[Compressor Type]]="Centrifugal / Screw",Table3[[#This Row],[Off-load Energy Consumption
'[kWh/y']]]*0.7,"N/A"),"N/A")</f>
        <v>N/A</v>
      </c>
      <c r="W13" s="60" t="str">
        <f>IF(Table3[[#This Row],[Energy Saving for Installing VFD
'[kWh/y']]]="N/A","N/A",Table3[[#This Row],[Energy Saving for Installing VFD
'[kWh/y']]]*$G$5)</f>
        <v>N/A</v>
      </c>
      <c r="X13" s="61"/>
      <c r="Y13" s="60" t="str">
        <f>IF(Table3[[#This Row],[Energy Saving for Installing VFD
'[PKR/y']]]="N/A","N/A", Table3[[#This Row],[Investment for VFD
'[PKR']]]*12/Table3[[#This Row],[Energy Saving for Installing VFD
'[PKR/y']]])</f>
        <v>N/A</v>
      </c>
      <c r="Z13" s="46"/>
      <c r="AA13" s="29"/>
    </row>
    <row r="14" spans="1:27">
      <c r="A14" s="29"/>
      <c r="B14" s="40" t="str">
        <f>IF(Table3[[#This Row],[Rated Motor Power
'[kW']]]&gt;0,ROW(Table3[[#This Row],[Compressor Code
'[Identity']]])-ROW(Table3[[#Headers],[Compressor Code
'[Identity']]]),"")</f>
        <v/>
      </c>
      <c r="C14" s="41"/>
      <c r="D14" s="41"/>
      <c r="E14" s="42"/>
      <c r="F14" s="42"/>
      <c r="G14" s="47"/>
      <c r="H14" s="42"/>
      <c r="I14" s="42"/>
      <c r="J14" s="42"/>
      <c r="K14" s="42"/>
      <c r="L14" s="44" t="b">
        <f>IF(Table3[[#This Row],[Compressor Type]]="Reciprocating",1,IF(Table3[[#This Row],[Annual Operation
'[hrs/y']]]&gt;0,Table3[[#This Row],[On-load Operation
'[hrs/y']]]/Table3[[#This Row],[Annual Operation
'[hrs/y']]]))</f>
        <v>0</v>
      </c>
      <c r="M14" s="45"/>
      <c r="N14" s="56">
        <f>IF(Table3[[#This Row],[Compressor Type]]="Reciprocating",Table3[[#This Row],[Annual Operation
'[hrs/y']]]*Table3[[#This Row],[On-load Motor Power
'[kW']]],((Table3[[#This Row],[On-load Motor Power
'[kW']]]*Table3[[#This Row],[On-load Operation
'[hrs/y']]])+Table3[[#This Row],[Off-load Motor Power
'[kW']]]*(Table3[[#This Row],[Annual Operation
'[hrs/y']]]-Table3[[#This Row],[On-load Operation
'[hrs/y']]])))</f>
        <v>0</v>
      </c>
      <c r="O14" s="56">
        <f>Table3[[#This Row],[Total Energy Consumption
'[kWh/y']]]*Table3[[#This Row],[Load Factor
'[%']]]</f>
        <v>0</v>
      </c>
      <c r="P14" s="56">
        <f>Table3[[#This Row],[Total Energy Consumption
'[kWh/y']]]-Table3[[#This Row],[On-load Energy Consumption
'[kWh/y']]]</f>
        <v>0</v>
      </c>
      <c r="Q14" s="56">
        <f>Table3[[#This Row],[Total Energy Consumption
'[kWh/y']]]*$G$5</f>
        <v>0</v>
      </c>
      <c r="R14" s="56">
        <f>Table3[[#This Row],[On-load Energy Consumption
'[kWh/y']]]*$G$5</f>
        <v>0</v>
      </c>
      <c r="S14" s="56">
        <f>Table3[[#This Row],[Off-load Energy Consumption
'[kWh/y']]]*$G$5</f>
        <v>0</v>
      </c>
      <c r="T14" s="45"/>
      <c r="U14" s="42"/>
      <c r="V14" s="59" t="str">
        <f>IF(Table3[[#This Row],[VFD Installed or Not!]]="No", IF(Table3[[#This Row],[Compressor Type]]="Centrifugal / Screw",Table3[[#This Row],[Off-load Energy Consumption
'[kWh/y']]]*0.7,"N/A"),"N/A")</f>
        <v>N/A</v>
      </c>
      <c r="W14" s="60" t="str">
        <f>IF(Table3[[#This Row],[Energy Saving for Installing VFD
'[kWh/y']]]="N/A","N/A",Table3[[#This Row],[Energy Saving for Installing VFD
'[kWh/y']]]*$G$5)</f>
        <v>N/A</v>
      </c>
      <c r="X14" s="61"/>
      <c r="Y14" s="60" t="str">
        <f>IF(Table3[[#This Row],[Energy Saving for Installing VFD
'[PKR/y']]]="N/A","N/A", Table3[[#This Row],[Investment for VFD
'[PKR']]]*12/Table3[[#This Row],[Energy Saving for Installing VFD
'[PKR/y']]])</f>
        <v>N/A</v>
      </c>
      <c r="Z14" s="46"/>
      <c r="AA14" s="29"/>
    </row>
    <row r="15" spans="1:27">
      <c r="A15" s="29"/>
      <c r="B15" s="48" t="str">
        <f>IF(Table3[[#This Row],[Rated Motor Power
'[kW']]]&gt;0,ROW(Table3[[#This Row],[Compressor Code
'[Identity']]])-ROW(Table3[[#Headers],[Compressor Code
'[Identity']]]),"")</f>
        <v/>
      </c>
      <c r="C15" s="41"/>
      <c r="D15" s="41"/>
      <c r="E15" s="42"/>
      <c r="F15" s="42"/>
      <c r="G15" s="47"/>
      <c r="H15" s="42"/>
      <c r="I15" s="42"/>
      <c r="J15" s="42"/>
      <c r="K15" s="42"/>
      <c r="L15" s="44" t="b">
        <f>IF(Table3[[#This Row],[Compressor Type]]="Reciprocating",1,IF(Table3[[#This Row],[Annual Operation
'[hrs/y']]]&gt;0,Table3[[#This Row],[On-load Operation
'[hrs/y']]]/Table3[[#This Row],[Annual Operation
'[hrs/y']]]))</f>
        <v>0</v>
      </c>
      <c r="M15" s="45"/>
      <c r="N15" s="56">
        <f>IF(Table3[[#This Row],[Compressor Type]]="Reciprocating",Table3[[#This Row],[Annual Operation
'[hrs/y']]]*Table3[[#This Row],[On-load Motor Power
'[kW']]],((Table3[[#This Row],[On-load Motor Power
'[kW']]]*Table3[[#This Row],[On-load Operation
'[hrs/y']]])+Table3[[#This Row],[Off-load Motor Power
'[kW']]]*(Table3[[#This Row],[Annual Operation
'[hrs/y']]]-Table3[[#This Row],[On-load Operation
'[hrs/y']]])))</f>
        <v>0</v>
      </c>
      <c r="O15" s="56">
        <f>Table3[[#This Row],[Total Energy Consumption
'[kWh/y']]]*Table3[[#This Row],[Load Factor
'[%']]]</f>
        <v>0</v>
      </c>
      <c r="P15" s="56">
        <f>Table3[[#This Row],[Total Energy Consumption
'[kWh/y']]]-Table3[[#This Row],[On-load Energy Consumption
'[kWh/y']]]</f>
        <v>0</v>
      </c>
      <c r="Q15" s="56">
        <f>Table3[[#This Row],[Total Energy Consumption
'[kWh/y']]]*$G$5</f>
        <v>0</v>
      </c>
      <c r="R15" s="56">
        <f>Table3[[#This Row],[On-load Energy Consumption
'[kWh/y']]]*$G$5</f>
        <v>0</v>
      </c>
      <c r="S15" s="56">
        <f>Table3[[#This Row],[Off-load Energy Consumption
'[kWh/y']]]*$G$5</f>
        <v>0</v>
      </c>
      <c r="T15" s="45"/>
      <c r="U15" s="42"/>
      <c r="V15" s="59" t="str">
        <f>IF(Table3[[#This Row],[VFD Installed or Not!]]="No", IF(Table3[[#This Row],[Compressor Type]]="Centrifugal / Screw",Table3[[#This Row],[Off-load Energy Consumption
'[kWh/y']]]*0.7,"N/A"),"N/A")</f>
        <v>N/A</v>
      </c>
      <c r="W15" s="60" t="str">
        <f>IF(Table3[[#This Row],[Energy Saving for Installing VFD
'[kWh/y']]]="N/A","N/A",Table3[[#This Row],[Energy Saving for Installing VFD
'[kWh/y']]]*$G$5)</f>
        <v>N/A</v>
      </c>
      <c r="X15" s="61"/>
      <c r="Y15" s="60" t="str">
        <f>IF(Table3[[#This Row],[Energy Saving for Installing VFD
'[PKR/y']]]="N/A","N/A", Table3[[#This Row],[Investment for VFD
'[PKR']]]*12/Table3[[#This Row],[Energy Saving for Installing VFD
'[PKR/y']]])</f>
        <v>N/A</v>
      </c>
      <c r="Z15" s="46"/>
      <c r="AA15" s="29"/>
    </row>
    <row r="16" spans="1:27">
      <c r="A16" s="29"/>
      <c r="B16" s="40" t="str">
        <f>IF(Table3[[#This Row],[Rated Motor Power
'[kW']]]&gt;0,ROW(Table3[[#This Row],[Compressor Code
'[Identity']]])-ROW(Table3[[#Headers],[Compressor Code
'[Identity']]]),"")</f>
        <v/>
      </c>
      <c r="C16" s="41"/>
      <c r="D16" s="41"/>
      <c r="E16" s="42"/>
      <c r="F16" s="42"/>
      <c r="G16" s="47"/>
      <c r="H16" s="42"/>
      <c r="I16" s="42"/>
      <c r="J16" s="42"/>
      <c r="K16" s="42"/>
      <c r="L16" s="44" t="b">
        <f>IF(Table3[[#This Row],[Compressor Type]]="Reciprocating",1,IF(Table3[[#This Row],[Annual Operation
'[hrs/y']]]&gt;0,Table3[[#This Row],[On-load Operation
'[hrs/y']]]/Table3[[#This Row],[Annual Operation
'[hrs/y']]]))</f>
        <v>0</v>
      </c>
      <c r="M16" s="45"/>
      <c r="N16" s="56">
        <f>IF(Table3[[#This Row],[Compressor Type]]="Reciprocating",Table3[[#This Row],[Annual Operation
'[hrs/y']]]*Table3[[#This Row],[On-load Motor Power
'[kW']]],((Table3[[#This Row],[On-load Motor Power
'[kW']]]*Table3[[#This Row],[On-load Operation
'[hrs/y']]])+Table3[[#This Row],[Off-load Motor Power
'[kW']]]*(Table3[[#This Row],[Annual Operation
'[hrs/y']]]-Table3[[#This Row],[On-load Operation
'[hrs/y']]])))</f>
        <v>0</v>
      </c>
      <c r="O16" s="56">
        <f>Table3[[#This Row],[Total Energy Consumption
'[kWh/y']]]*Table3[[#This Row],[Load Factor
'[%']]]</f>
        <v>0</v>
      </c>
      <c r="P16" s="56">
        <f>Table3[[#This Row],[Total Energy Consumption
'[kWh/y']]]-Table3[[#This Row],[On-load Energy Consumption
'[kWh/y']]]</f>
        <v>0</v>
      </c>
      <c r="Q16" s="56">
        <f>Table3[[#This Row],[Total Energy Consumption
'[kWh/y']]]*$G$5</f>
        <v>0</v>
      </c>
      <c r="R16" s="56">
        <f>Table3[[#This Row],[On-load Energy Consumption
'[kWh/y']]]*$G$5</f>
        <v>0</v>
      </c>
      <c r="S16" s="56">
        <f>Table3[[#This Row],[Off-load Energy Consumption
'[kWh/y']]]*$G$5</f>
        <v>0</v>
      </c>
      <c r="T16" s="45"/>
      <c r="U16" s="42"/>
      <c r="V16" s="59" t="str">
        <f>IF(Table3[[#This Row],[VFD Installed or Not!]]="No", IF(Table3[[#This Row],[Compressor Type]]="Centrifugal / Screw",Table3[[#This Row],[Off-load Energy Consumption
'[kWh/y']]]*0.7,"N/A"),"N/A")</f>
        <v>N/A</v>
      </c>
      <c r="W16" s="60" t="str">
        <f>IF(Table3[[#This Row],[Energy Saving for Installing VFD
'[kWh/y']]]="N/A","N/A",Table3[[#This Row],[Energy Saving for Installing VFD
'[kWh/y']]]*$G$5)</f>
        <v>N/A</v>
      </c>
      <c r="X16" s="61"/>
      <c r="Y16" s="60" t="str">
        <f>IF(Table3[[#This Row],[Energy Saving for Installing VFD
'[PKR/y']]]="N/A","N/A", Table3[[#This Row],[Investment for VFD
'[PKR']]]*12/Table3[[#This Row],[Energy Saving for Installing VFD
'[PKR/y']]])</f>
        <v>N/A</v>
      </c>
      <c r="Z16" s="46"/>
      <c r="AA16" s="29"/>
    </row>
    <row r="17" spans="1:48">
      <c r="A17" s="29"/>
      <c r="B17" s="40" t="str">
        <f>IF(Table3[[#This Row],[Rated Motor Power
'[kW']]]&gt;0,ROW(Table3[[#This Row],[Compressor Code
'[Identity']]])-ROW(Table3[[#Headers],[Compressor Code
'[Identity']]]),"")</f>
        <v/>
      </c>
      <c r="C17" s="41"/>
      <c r="D17" s="41"/>
      <c r="E17" s="42"/>
      <c r="F17" s="42"/>
      <c r="G17" s="47"/>
      <c r="H17" s="42"/>
      <c r="I17" s="42"/>
      <c r="J17" s="42"/>
      <c r="K17" s="42"/>
      <c r="L17" s="44" t="b">
        <f>IF(Table3[[#This Row],[Compressor Type]]="Reciprocating",1,IF(Table3[[#This Row],[Annual Operation
'[hrs/y']]]&gt;0,Table3[[#This Row],[On-load Operation
'[hrs/y']]]/Table3[[#This Row],[Annual Operation
'[hrs/y']]]))</f>
        <v>0</v>
      </c>
      <c r="M17" s="45"/>
      <c r="N17" s="56">
        <f>IF(Table3[[#This Row],[Compressor Type]]="Reciprocating",Table3[[#This Row],[Annual Operation
'[hrs/y']]]*Table3[[#This Row],[On-load Motor Power
'[kW']]],((Table3[[#This Row],[On-load Motor Power
'[kW']]]*Table3[[#This Row],[On-load Operation
'[hrs/y']]])+Table3[[#This Row],[Off-load Motor Power
'[kW']]]*(Table3[[#This Row],[Annual Operation
'[hrs/y']]]-Table3[[#This Row],[On-load Operation
'[hrs/y']]])))</f>
        <v>0</v>
      </c>
      <c r="O17" s="56">
        <f>Table3[[#This Row],[Total Energy Consumption
'[kWh/y']]]*Table3[[#This Row],[Load Factor
'[%']]]</f>
        <v>0</v>
      </c>
      <c r="P17" s="56">
        <f>Table3[[#This Row],[Total Energy Consumption
'[kWh/y']]]-Table3[[#This Row],[On-load Energy Consumption
'[kWh/y']]]</f>
        <v>0</v>
      </c>
      <c r="Q17" s="56">
        <f>Table3[[#This Row],[Total Energy Consumption
'[kWh/y']]]*$G$5</f>
        <v>0</v>
      </c>
      <c r="R17" s="56">
        <f>Table3[[#This Row],[On-load Energy Consumption
'[kWh/y']]]*$G$5</f>
        <v>0</v>
      </c>
      <c r="S17" s="56">
        <f>Table3[[#This Row],[Off-load Energy Consumption
'[kWh/y']]]*$G$5</f>
        <v>0</v>
      </c>
      <c r="T17" s="45"/>
      <c r="U17" s="42"/>
      <c r="V17" s="59" t="str">
        <f>IF(Table3[[#This Row],[VFD Installed or Not!]]="No", IF(Table3[[#This Row],[Compressor Type]]="Centrifugal / Screw",Table3[[#This Row],[Off-load Energy Consumption
'[kWh/y']]]*0.7,"N/A"),"N/A")</f>
        <v>N/A</v>
      </c>
      <c r="W17" s="60" t="str">
        <f>IF(Table3[[#This Row],[Energy Saving for Installing VFD
'[kWh/y']]]="N/A","N/A",Table3[[#This Row],[Energy Saving for Installing VFD
'[kWh/y']]]*$G$5)</f>
        <v>N/A</v>
      </c>
      <c r="X17" s="61"/>
      <c r="Y17" s="60" t="str">
        <f>IF(Table3[[#This Row],[Energy Saving for Installing VFD
'[PKR/y']]]="N/A","N/A", Table3[[#This Row],[Investment for VFD
'[PKR']]]*12/Table3[[#This Row],[Energy Saving for Installing VFD
'[PKR/y']]])</f>
        <v>N/A</v>
      </c>
      <c r="Z17" s="46"/>
      <c r="AA17" s="29"/>
    </row>
    <row r="18" spans="1:48">
      <c r="A18" s="29"/>
      <c r="B18" s="40" t="str">
        <f>IF(Table3[[#This Row],[Rated Motor Power
'[kW']]]&gt;0,ROW(Table3[[#This Row],[Compressor Code
'[Identity']]])-ROW(Table3[[#Headers],[Compressor Code
'[Identity']]]),"")</f>
        <v/>
      </c>
      <c r="C18" s="41"/>
      <c r="D18" s="41"/>
      <c r="E18" s="42"/>
      <c r="F18" s="42"/>
      <c r="G18" s="47"/>
      <c r="H18" s="42"/>
      <c r="I18" s="42"/>
      <c r="J18" s="42"/>
      <c r="K18" s="42"/>
      <c r="L18" s="44" t="b">
        <f>IF(Table3[[#This Row],[Compressor Type]]="Reciprocating",1,IF(Table3[[#This Row],[Annual Operation
'[hrs/y']]]&gt;0,Table3[[#This Row],[On-load Operation
'[hrs/y']]]/Table3[[#This Row],[Annual Operation
'[hrs/y']]]))</f>
        <v>0</v>
      </c>
      <c r="M18" s="45"/>
      <c r="N18" s="56">
        <f>IF(Table3[[#This Row],[Compressor Type]]="Reciprocating",Table3[[#This Row],[Annual Operation
'[hrs/y']]]*Table3[[#This Row],[On-load Motor Power
'[kW']]],((Table3[[#This Row],[On-load Motor Power
'[kW']]]*Table3[[#This Row],[On-load Operation
'[hrs/y']]])+Table3[[#This Row],[Off-load Motor Power
'[kW']]]*(Table3[[#This Row],[Annual Operation
'[hrs/y']]]-Table3[[#This Row],[On-load Operation
'[hrs/y']]])))</f>
        <v>0</v>
      </c>
      <c r="O18" s="56">
        <f>Table3[[#This Row],[Total Energy Consumption
'[kWh/y']]]*Table3[[#This Row],[Load Factor
'[%']]]</f>
        <v>0</v>
      </c>
      <c r="P18" s="56">
        <f>Table3[[#This Row],[Total Energy Consumption
'[kWh/y']]]-Table3[[#This Row],[On-load Energy Consumption
'[kWh/y']]]</f>
        <v>0</v>
      </c>
      <c r="Q18" s="56">
        <f>Table3[[#This Row],[Total Energy Consumption
'[kWh/y']]]*$G$5</f>
        <v>0</v>
      </c>
      <c r="R18" s="56">
        <f>Table3[[#This Row],[On-load Energy Consumption
'[kWh/y']]]*$G$5</f>
        <v>0</v>
      </c>
      <c r="S18" s="56">
        <f>Table3[[#This Row],[Off-load Energy Consumption
'[kWh/y']]]*$G$5</f>
        <v>0</v>
      </c>
      <c r="T18" s="45"/>
      <c r="U18" s="42"/>
      <c r="V18" s="59" t="str">
        <f>IF(Table3[[#This Row],[VFD Installed or Not!]]="No", IF(Table3[[#This Row],[Compressor Type]]="Centrifugal / Screw",Table3[[#This Row],[Off-load Energy Consumption
'[kWh/y']]]*0.7,"N/A"),"N/A")</f>
        <v>N/A</v>
      </c>
      <c r="W18" s="60" t="str">
        <f>IF(Table3[[#This Row],[Energy Saving for Installing VFD
'[kWh/y']]]="N/A","N/A",Table3[[#This Row],[Energy Saving for Installing VFD
'[kWh/y']]]*$G$5)</f>
        <v>N/A</v>
      </c>
      <c r="X18" s="61"/>
      <c r="Y18" s="60" t="str">
        <f>IF(Table3[[#This Row],[Energy Saving for Installing VFD
'[PKR/y']]]="N/A","N/A", Table3[[#This Row],[Investment for VFD
'[PKR']]]*12/Table3[[#This Row],[Energy Saving for Installing VFD
'[PKR/y']]])</f>
        <v>N/A</v>
      </c>
      <c r="Z18" s="46"/>
      <c r="AA18" s="29"/>
    </row>
    <row r="19" spans="1:48">
      <c r="A19" s="29"/>
      <c r="B19" s="48" t="str">
        <f>IF(Table3[[#This Row],[Rated Motor Power
'[kW']]]&gt;0,ROW(Table3[[#This Row],[Compressor Code
'[Identity']]])-ROW(Table3[[#Headers],[Compressor Code
'[Identity']]]),"")</f>
        <v/>
      </c>
      <c r="C19" s="41"/>
      <c r="D19" s="41"/>
      <c r="E19" s="42"/>
      <c r="F19" s="42"/>
      <c r="G19" s="47"/>
      <c r="H19" s="47"/>
      <c r="I19" s="47"/>
      <c r="J19" s="42"/>
      <c r="K19" s="42"/>
      <c r="L19" s="44" t="b">
        <f>IF(Table3[[#This Row],[Compressor Type]]="Reciprocating",1,IF(Table3[[#This Row],[Annual Operation
'[hrs/y']]]&gt;0,Table3[[#This Row],[On-load Operation
'[hrs/y']]]/Table3[[#This Row],[Annual Operation
'[hrs/y']]]))</f>
        <v>0</v>
      </c>
      <c r="M19" s="45"/>
      <c r="N19" s="56">
        <f>IF(Table3[[#This Row],[Compressor Type]]="Reciprocating",Table3[[#This Row],[Annual Operation
'[hrs/y']]]*Table3[[#This Row],[On-load Motor Power
'[kW']]],((Table3[[#This Row],[On-load Motor Power
'[kW']]]*Table3[[#This Row],[On-load Operation
'[hrs/y']]])+Table3[[#This Row],[Off-load Motor Power
'[kW']]]*(Table3[[#This Row],[Annual Operation
'[hrs/y']]]-Table3[[#This Row],[On-load Operation
'[hrs/y']]])))</f>
        <v>0</v>
      </c>
      <c r="O19" s="56">
        <f>Table3[[#This Row],[Total Energy Consumption
'[kWh/y']]]*Table3[[#This Row],[Load Factor
'[%']]]</f>
        <v>0</v>
      </c>
      <c r="P19" s="56">
        <f>Table3[[#This Row],[Total Energy Consumption
'[kWh/y']]]-Table3[[#This Row],[On-load Energy Consumption
'[kWh/y']]]</f>
        <v>0</v>
      </c>
      <c r="Q19" s="56">
        <f>Table3[[#This Row],[Total Energy Consumption
'[kWh/y']]]*$G$5</f>
        <v>0</v>
      </c>
      <c r="R19" s="56">
        <f>Table3[[#This Row],[On-load Energy Consumption
'[kWh/y']]]*$G$5</f>
        <v>0</v>
      </c>
      <c r="S19" s="56">
        <f>Table3[[#This Row],[Off-load Energy Consumption
'[kWh/y']]]*$G$5</f>
        <v>0</v>
      </c>
      <c r="T19" s="45"/>
      <c r="U19" s="42"/>
      <c r="V19" s="62" t="str">
        <f>IF(Table3[[#This Row],[VFD Installed or Not!]]="No", IF(Table3[[#This Row],[Compressor Type]]="Centrifugal / Screw",Table3[[#This Row],[Off-load Energy Consumption
'[kWh/y']]]*0.7,"N/A"),"N/A")</f>
        <v>N/A</v>
      </c>
      <c r="W19" s="63" t="str">
        <f>IF(Table3[[#This Row],[Energy Saving for Installing VFD
'[kWh/y']]]="N/A","N/A",Table3[[#This Row],[Energy Saving for Installing VFD
'[kWh/y']]]*$G$5)</f>
        <v>N/A</v>
      </c>
      <c r="X19" s="61"/>
      <c r="Y19" s="63" t="str">
        <f>IF(Table3[[#This Row],[Energy Saving for Installing VFD
'[PKR/y']]]="N/A","N/A", Table3[[#This Row],[Investment for VFD
'[PKR']]]*12/Table3[[#This Row],[Energy Saving for Installing VFD
'[PKR/y']]])</f>
        <v>N/A</v>
      </c>
      <c r="Z19" s="46"/>
      <c r="AA19" s="29"/>
    </row>
    <row r="20" spans="1:48">
      <c r="A20" s="29"/>
      <c r="B20" s="48" t="str">
        <f>IF(Table3[[#This Row],[Rated Motor Power
'[kW']]]&gt;0,ROW(Table3[[#This Row],[Compressor Code
'[Identity']]])-ROW(Table3[[#Headers],[Compressor Code
'[Identity']]]),"")</f>
        <v/>
      </c>
      <c r="C20" s="41"/>
      <c r="D20" s="41"/>
      <c r="E20" s="42"/>
      <c r="F20" s="42"/>
      <c r="G20" s="47"/>
      <c r="H20" s="47"/>
      <c r="I20" s="47"/>
      <c r="J20" s="42"/>
      <c r="K20" s="42"/>
      <c r="L20" s="44" t="b">
        <f>IF(Table3[[#This Row],[Compressor Type]]="Reciprocating",1,IF(Table3[[#This Row],[Annual Operation
'[hrs/y']]]&gt;0,Table3[[#This Row],[On-load Operation
'[hrs/y']]]/Table3[[#This Row],[Annual Operation
'[hrs/y']]]))</f>
        <v>0</v>
      </c>
      <c r="M20" s="45"/>
      <c r="N20" s="56">
        <f>IF(Table3[[#This Row],[Compressor Type]]="Reciprocating",Table3[[#This Row],[Annual Operation
'[hrs/y']]]*Table3[[#This Row],[On-load Motor Power
'[kW']]],((Table3[[#This Row],[On-load Motor Power
'[kW']]]*Table3[[#This Row],[On-load Operation
'[hrs/y']]])+Table3[[#This Row],[Off-load Motor Power
'[kW']]]*(Table3[[#This Row],[Annual Operation
'[hrs/y']]]-Table3[[#This Row],[On-load Operation
'[hrs/y']]])))</f>
        <v>0</v>
      </c>
      <c r="O20" s="56">
        <f>Table3[[#This Row],[Total Energy Consumption
'[kWh/y']]]*Table3[[#This Row],[Load Factor
'[%']]]</f>
        <v>0</v>
      </c>
      <c r="P20" s="56">
        <f>Table3[[#This Row],[Total Energy Consumption
'[kWh/y']]]-Table3[[#This Row],[On-load Energy Consumption
'[kWh/y']]]</f>
        <v>0</v>
      </c>
      <c r="Q20" s="56">
        <f>Table3[[#This Row],[Total Energy Consumption
'[kWh/y']]]*$G$5</f>
        <v>0</v>
      </c>
      <c r="R20" s="56">
        <f>Table3[[#This Row],[On-load Energy Consumption
'[kWh/y']]]*$G$5</f>
        <v>0</v>
      </c>
      <c r="S20" s="56">
        <f>Table3[[#This Row],[Off-load Energy Consumption
'[kWh/y']]]*$G$5</f>
        <v>0</v>
      </c>
      <c r="T20" s="45"/>
      <c r="U20" s="42"/>
      <c r="V20" s="59" t="str">
        <f>IF(Table3[[#This Row],[VFD Installed or Not!]]="No", IF(Table3[[#This Row],[Compressor Type]]="Centrifugal / Screw",Table3[[#This Row],[Off-load Energy Consumption
'[kWh/y']]]*0.7,"N/A"),"N/A")</f>
        <v>N/A</v>
      </c>
      <c r="W20" s="60" t="str">
        <f>IF(Table3[[#This Row],[Energy Saving for Installing VFD
'[kWh/y']]]="N/A","N/A",Table3[[#This Row],[Energy Saving for Installing VFD
'[kWh/y']]]*$G$5)</f>
        <v>N/A</v>
      </c>
      <c r="X20" s="61"/>
      <c r="Y20" s="60" t="str">
        <f>IF(Table3[[#This Row],[Energy Saving for Installing VFD
'[PKR/y']]]="N/A","N/A", Table3[[#This Row],[Investment for VFD
'[PKR']]]*12/Table3[[#This Row],[Energy Saving for Installing VFD
'[PKR/y']]])</f>
        <v>N/A</v>
      </c>
      <c r="Z20" s="46"/>
      <c r="AA20" s="29"/>
    </row>
    <row r="21" spans="1:48">
      <c r="A21" s="29"/>
      <c r="B21" s="48">
        <f>SUBTOTAL(102,Table3['#])</f>
        <v>0</v>
      </c>
      <c r="C21" s="49"/>
      <c r="D21" s="49"/>
      <c r="E21" s="50">
        <f>SUBTOTAL(109,Table3[Discharge Flow Rate
'[mᶟ/min']])</f>
        <v>0</v>
      </c>
      <c r="F21" s="50">
        <f>SUBTOTAL(109,Table3[Rated Motor Power
'[kW']])</f>
        <v>0</v>
      </c>
      <c r="G21" s="51"/>
      <c r="H21" s="52">
        <f>SUBTOTAL(109,Table3[On-load Motor Power
'[kW']])</f>
        <v>0</v>
      </c>
      <c r="I21" s="52">
        <f>SUBTOTAL(109,Table3[Off-load Motor Power
'[kW']])</f>
        <v>0</v>
      </c>
      <c r="J21" s="50" t="e">
        <f>SUBTOTAL(101,Table3[Annual Operation
'[hrs/y']])</f>
        <v>#DIV/0!</v>
      </c>
      <c r="K21" s="50"/>
      <c r="L21" s="53" t="e">
        <f>SUBTOTAL(101,Table3[Load Factor
'[%']])</f>
        <v>#DIV/0!</v>
      </c>
      <c r="M21" s="45"/>
      <c r="N21" s="57">
        <f>SUBTOTAL(109,Table3[Total Energy Consumption
'[kWh/y']])</f>
        <v>0</v>
      </c>
      <c r="O21" s="57">
        <f>SUBTOTAL(109,Table3[On-load Energy Consumption
'[kWh/y']])</f>
        <v>0</v>
      </c>
      <c r="P21" s="57">
        <f>SUBTOTAL(109,Table3[Off-load Energy Consumption
'[kWh/y']])</f>
        <v>0</v>
      </c>
      <c r="Q21" s="57">
        <f>SUBTOTAL(109,Table3[Total Energy Cost
'[PKR/y']])</f>
        <v>0</v>
      </c>
      <c r="R21" s="58">
        <f>SUBTOTAL(109,Table3[On-load Energy Cost
'[PKR/y']])</f>
        <v>0</v>
      </c>
      <c r="S21" s="58">
        <f>SUBTOTAL(109,Table3[Off-load Energy Cost
'[PKR/y']])</f>
        <v>0</v>
      </c>
      <c r="T21" s="45"/>
      <c r="U21" s="50">
        <f>COUNTIF(Table3[VFD Installed or Not!],"No")</f>
        <v>0</v>
      </c>
      <c r="V21" s="64">
        <f>SUBTOTAL(109,Table3[Energy Saving for Installing VFD
'[kWh/y']])</f>
        <v>0</v>
      </c>
      <c r="W21" s="64">
        <f>SUBTOTAL(109,Table3[Energy Saving for Installing VFD
'[PKR/y']])</f>
        <v>0</v>
      </c>
      <c r="X21" s="65">
        <f>SUBTOTAL(109,Table3[Investment for VFD
'[PKR']])</f>
        <v>0</v>
      </c>
      <c r="Y21" s="64" t="str">
        <f>IF(Table3[[#Totals],[Energy Saving for Installing VFD
'[PKR/y']]]=0,"N/A",Table3[[#Totals],[Investment for VFD
'[PKR']]]*12/Table3[[#Totals],[Energy Saving for Installing VFD
'[PKR/y']]])</f>
        <v>N/A</v>
      </c>
      <c r="Z21" s="46"/>
      <c r="AA21" s="29"/>
    </row>
    <row r="22" spans="1:48">
      <c r="A22" s="29"/>
      <c r="B22" s="29"/>
      <c r="C22" s="29"/>
      <c r="D22" s="29"/>
      <c r="E22" s="29"/>
      <c r="F22" s="29"/>
      <c r="G22" s="29"/>
      <c r="H22" s="29"/>
      <c r="I22" s="29"/>
      <c r="J22" s="29"/>
      <c r="K22" s="29"/>
      <c r="L22" s="29"/>
      <c r="M22" s="30"/>
      <c r="N22" s="29"/>
      <c r="O22" s="29"/>
      <c r="P22" s="29"/>
      <c r="Q22" s="29"/>
      <c r="R22" s="29"/>
      <c r="S22" s="29"/>
      <c r="T22" s="30"/>
      <c r="U22" s="29"/>
      <c r="V22" s="29"/>
      <c r="W22" s="29"/>
      <c r="X22" s="29"/>
      <c r="Y22" s="29"/>
      <c r="Z22" s="30"/>
    </row>
    <row r="23" spans="1:48" hidden="1">
      <c r="A23" s="29"/>
      <c r="B23" s="29"/>
      <c r="C23" s="29"/>
      <c r="D23" s="29"/>
      <c r="E23" s="29"/>
      <c r="F23" s="29"/>
      <c r="G23" s="29"/>
      <c r="H23" s="29"/>
      <c r="I23" s="29"/>
      <c r="J23" s="29"/>
      <c r="K23" s="29"/>
      <c r="L23" s="29"/>
      <c r="M23" s="30"/>
      <c r="N23" s="29"/>
      <c r="O23" s="29"/>
      <c r="P23" s="29"/>
      <c r="Q23" s="29"/>
      <c r="R23" s="29"/>
      <c r="S23" s="29"/>
      <c r="T23" s="30"/>
      <c r="U23" s="29"/>
      <c r="V23" s="29"/>
      <c r="W23" s="29"/>
      <c r="X23" s="29"/>
      <c r="Y23" s="29"/>
      <c r="Z23" s="30"/>
      <c r="AA23" s="29"/>
      <c r="AB23" s="29"/>
      <c r="AC23" s="29"/>
      <c r="AD23" s="29"/>
      <c r="AE23" s="29"/>
      <c r="AF23" s="29"/>
      <c r="AG23" s="29"/>
      <c r="AH23" s="29"/>
      <c r="AI23" s="29"/>
      <c r="AJ23" s="29"/>
      <c r="AK23" s="29"/>
      <c r="AL23" s="29"/>
      <c r="AM23" s="29"/>
      <c r="AN23" s="29"/>
      <c r="AO23" s="29"/>
      <c r="AP23" s="29"/>
      <c r="AQ23" s="29"/>
      <c r="AR23" s="29"/>
      <c r="AS23" s="29"/>
      <c r="AT23" s="29"/>
      <c r="AU23" s="29"/>
      <c r="AV23" s="29"/>
    </row>
    <row r="24" spans="1:48" hidden="1">
      <c r="A24" s="29"/>
      <c r="B24" s="29"/>
      <c r="C24" s="29"/>
      <c r="D24" s="29"/>
      <c r="E24" s="29"/>
      <c r="F24" s="29"/>
      <c r="G24" s="29"/>
      <c r="H24" s="29"/>
      <c r="I24" s="29"/>
      <c r="J24" s="29"/>
      <c r="K24" s="29"/>
      <c r="L24" s="29"/>
      <c r="M24" s="30"/>
      <c r="N24" s="29"/>
      <c r="O24" s="29"/>
      <c r="P24" s="29"/>
      <c r="Q24" s="29"/>
      <c r="R24" s="29"/>
      <c r="S24" s="29"/>
      <c r="T24" s="30"/>
      <c r="U24" s="29"/>
      <c r="V24" s="29"/>
      <c r="W24" s="29"/>
      <c r="X24" s="29"/>
      <c r="Y24" s="29"/>
      <c r="Z24" s="30"/>
    </row>
    <row r="25" spans="1:48" hidden="1">
      <c r="A25" s="29"/>
      <c r="B25" s="29"/>
      <c r="C25" s="29"/>
      <c r="D25" s="29"/>
      <c r="E25" s="29"/>
      <c r="F25" s="29"/>
      <c r="G25" s="29"/>
      <c r="H25" s="29"/>
      <c r="I25" s="29"/>
      <c r="J25" s="29"/>
      <c r="K25" s="29"/>
      <c r="L25" s="29"/>
      <c r="M25" s="30"/>
      <c r="N25" s="29"/>
      <c r="O25" s="29"/>
      <c r="P25" s="29"/>
      <c r="Q25" s="29"/>
      <c r="R25" s="29"/>
      <c r="S25" s="29"/>
      <c r="T25" s="30"/>
      <c r="U25" s="29"/>
      <c r="V25" s="29"/>
      <c r="W25" s="29"/>
      <c r="X25" s="29"/>
      <c r="Y25" s="29"/>
      <c r="Z25" s="30"/>
    </row>
    <row r="26" spans="1:48" hidden="1">
      <c r="A26" s="29"/>
      <c r="B26" s="29"/>
      <c r="C26" s="29"/>
      <c r="D26" s="29"/>
      <c r="E26" s="29"/>
      <c r="F26" s="29"/>
      <c r="G26" s="29"/>
      <c r="H26" s="29"/>
      <c r="I26" s="29"/>
      <c r="J26" s="29"/>
      <c r="K26" s="29"/>
      <c r="L26" s="29"/>
      <c r="M26" s="30"/>
      <c r="N26" s="29"/>
      <c r="O26" s="29"/>
      <c r="P26" s="29"/>
      <c r="Q26" s="29"/>
      <c r="R26" s="29"/>
      <c r="S26" s="29"/>
      <c r="T26" s="30"/>
      <c r="U26" s="29"/>
      <c r="V26" s="29"/>
      <c r="W26" s="29"/>
      <c r="X26" s="29"/>
      <c r="Y26" s="29"/>
      <c r="Z26" s="30"/>
    </row>
    <row r="27" spans="1:48" hidden="1">
      <c r="A27" s="29"/>
      <c r="B27" s="29"/>
      <c r="C27" s="29"/>
      <c r="D27" s="29"/>
      <c r="E27" s="29"/>
      <c r="F27" s="29"/>
      <c r="G27" s="29"/>
      <c r="H27" s="29"/>
      <c r="I27" s="29"/>
      <c r="J27" s="29"/>
      <c r="K27" s="29"/>
      <c r="L27" s="29"/>
      <c r="M27" s="30"/>
      <c r="N27" s="29"/>
      <c r="O27" s="29"/>
      <c r="P27" s="29"/>
      <c r="Q27" s="29"/>
      <c r="R27" s="29"/>
      <c r="S27" s="29"/>
      <c r="T27" s="30"/>
      <c r="U27" s="29"/>
      <c r="V27" s="29"/>
      <c r="W27" s="29"/>
      <c r="X27" s="29"/>
      <c r="Y27" s="29"/>
      <c r="Z27" s="30"/>
    </row>
    <row r="28" spans="1:48" hidden="1">
      <c r="A28" s="29"/>
      <c r="B28" s="29"/>
      <c r="C28" s="29"/>
      <c r="D28" s="29"/>
      <c r="E28" s="29"/>
      <c r="F28" s="29"/>
      <c r="G28" s="29"/>
      <c r="H28" s="29"/>
      <c r="I28" s="29"/>
      <c r="J28" s="29"/>
      <c r="K28" s="29"/>
      <c r="L28" s="29"/>
      <c r="M28" s="30"/>
      <c r="N28" s="29"/>
      <c r="O28" s="29"/>
      <c r="P28" s="29"/>
      <c r="Q28" s="29"/>
      <c r="R28" s="29"/>
      <c r="S28" s="29"/>
      <c r="T28" s="30"/>
      <c r="U28" s="29"/>
      <c r="V28" s="29"/>
      <c r="W28" s="29"/>
      <c r="X28" s="29"/>
      <c r="Y28" s="29"/>
      <c r="Z28" s="30"/>
    </row>
    <row r="29" spans="1:48" hidden="1">
      <c r="A29" s="29"/>
      <c r="B29" s="29"/>
      <c r="C29" s="29"/>
      <c r="D29" s="29"/>
      <c r="E29" s="29"/>
      <c r="F29" s="29"/>
      <c r="G29" s="29"/>
      <c r="H29" s="29"/>
      <c r="I29" s="29"/>
      <c r="J29" s="29"/>
      <c r="K29" s="29"/>
      <c r="L29" s="29"/>
      <c r="M29" s="30"/>
      <c r="N29" s="29"/>
      <c r="O29" s="29"/>
      <c r="P29" s="29"/>
      <c r="Q29" s="29"/>
      <c r="R29" s="29"/>
      <c r="S29" s="29"/>
      <c r="T29" s="30"/>
      <c r="U29" s="29"/>
      <c r="V29" s="29"/>
      <c r="W29" s="29"/>
      <c r="X29" s="29"/>
      <c r="Y29" s="29"/>
      <c r="Z29" s="30"/>
    </row>
    <row r="30" spans="1:48" hidden="1">
      <c r="A30" s="29"/>
      <c r="B30" s="29"/>
      <c r="C30" s="29"/>
      <c r="D30" s="29"/>
      <c r="E30" s="29"/>
      <c r="F30" s="29"/>
      <c r="G30" s="29"/>
      <c r="H30" s="29"/>
      <c r="I30" s="29"/>
      <c r="J30" s="29"/>
      <c r="K30" s="29"/>
      <c r="L30" s="29"/>
      <c r="M30" s="30"/>
      <c r="N30" s="29"/>
      <c r="O30" s="29"/>
      <c r="P30" s="29"/>
      <c r="Q30" s="29"/>
      <c r="R30" s="29"/>
      <c r="S30" s="29"/>
      <c r="T30" s="30"/>
      <c r="U30" s="29"/>
      <c r="V30" s="29"/>
      <c r="W30" s="29"/>
      <c r="X30" s="29"/>
      <c r="Y30" s="29"/>
      <c r="Z30" s="30"/>
    </row>
    <row r="31" spans="1:48" hidden="1">
      <c r="A31" s="29"/>
      <c r="B31" s="29"/>
      <c r="C31" s="29"/>
      <c r="D31" s="29"/>
      <c r="E31" s="29"/>
      <c r="F31" s="29"/>
      <c r="G31" s="29"/>
      <c r="H31" s="29"/>
      <c r="I31" s="29"/>
      <c r="J31" s="29"/>
      <c r="K31" s="29"/>
      <c r="L31" s="29"/>
      <c r="M31" s="30"/>
      <c r="N31" s="29"/>
      <c r="O31" s="29"/>
      <c r="P31" s="29"/>
      <c r="Q31" s="29"/>
      <c r="R31" s="29"/>
      <c r="S31" s="29"/>
      <c r="T31" s="30"/>
      <c r="U31" s="29"/>
      <c r="V31" s="29"/>
      <c r="W31" s="29"/>
      <c r="X31" s="29"/>
      <c r="Y31" s="29"/>
      <c r="Z31" s="30"/>
    </row>
    <row r="32" spans="1:48" hidden="1">
      <c r="A32" s="29"/>
      <c r="B32" s="29"/>
      <c r="C32" s="29"/>
      <c r="D32" s="29"/>
      <c r="E32" s="29"/>
      <c r="F32" s="29"/>
      <c r="G32" s="29"/>
      <c r="H32" s="29"/>
      <c r="I32" s="29"/>
      <c r="J32" s="29"/>
      <c r="K32" s="29"/>
      <c r="L32" s="29"/>
      <c r="M32" s="30"/>
      <c r="N32" s="29"/>
      <c r="O32" s="29"/>
      <c r="P32" s="29"/>
      <c r="Q32" s="29"/>
      <c r="R32" s="29"/>
      <c r="S32" s="29"/>
      <c r="T32" s="30"/>
      <c r="U32" s="29"/>
      <c r="V32" s="29"/>
      <c r="W32" s="29"/>
      <c r="X32" s="29"/>
      <c r="Y32" s="29"/>
      <c r="Z32" s="30"/>
    </row>
    <row r="33" spans="2:26" s="29" customFormat="1" hidden="1">
      <c r="M33" s="30"/>
      <c r="T33" s="30"/>
      <c r="Z33" s="30"/>
    </row>
    <row r="34" spans="2:26" s="29" customFormat="1" hidden="1">
      <c r="M34" s="30"/>
      <c r="T34" s="30"/>
      <c r="Z34" s="30"/>
    </row>
    <row r="35" spans="2:26" s="29" customFormat="1" hidden="1">
      <c r="M35" s="30"/>
      <c r="T35" s="30"/>
      <c r="Z35" s="30"/>
    </row>
    <row r="36" spans="2:26" s="29" customFormat="1" hidden="1">
      <c r="M36" s="30"/>
      <c r="T36" s="30"/>
      <c r="Z36" s="30"/>
    </row>
    <row r="37" spans="2:26" s="29" customFormat="1" hidden="1">
      <c r="M37" s="30"/>
      <c r="T37" s="30"/>
      <c r="Z37" s="30"/>
    </row>
    <row r="38" spans="2:26" s="29" customFormat="1" hidden="1">
      <c r="M38" s="30"/>
      <c r="T38" s="30"/>
      <c r="Z38" s="30"/>
    </row>
    <row r="39" spans="2:26" s="29" customFormat="1" hidden="1">
      <c r="M39" s="30"/>
      <c r="T39" s="30"/>
      <c r="Z39" s="30"/>
    </row>
    <row r="40" spans="2:26" s="29" customFormat="1" hidden="1">
      <c r="M40" s="30"/>
      <c r="T40" s="30"/>
      <c r="Z40" s="30"/>
    </row>
    <row r="41" spans="2:26" s="29" customFormat="1" hidden="1">
      <c r="B41" s="1"/>
      <c r="C41" s="1"/>
      <c r="D41" s="1"/>
      <c r="E41" s="1"/>
      <c r="F41" s="1"/>
      <c r="G41" s="1"/>
      <c r="H41" s="1"/>
      <c r="I41" s="1"/>
      <c r="J41" s="1"/>
      <c r="K41" s="1"/>
      <c r="L41" s="1"/>
      <c r="M41" s="54"/>
      <c r="N41" s="1"/>
      <c r="O41" s="1"/>
      <c r="P41" s="1"/>
      <c r="Q41" s="1"/>
      <c r="R41" s="1"/>
      <c r="S41" s="1"/>
      <c r="T41" s="54"/>
      <c r="U41" s="1"/>
      <c r="V41" s="1"/>
      <c r="W41" s="1"/>
      <c r="X41" s="1"/>
      <c r="Y41" s="1"/>
      <c r="Z41" s="54"/>
    </row>
    <row r="42" spans="2:26" s="29" customFormat="1" hidden="1">
      <c r="B42" s="1"/>
      <c r="C42" s="1"/>
      <c r="D42" s="1"/>
      <c r="E42" s="1"/>
      <c r="F42" s="1"/>
      <c r="G42" s="1"/>
      <c r="H42" s="1"/>
      <c r="I42" s="1"/>
      <c r="J42" s="1"/>
      <c r="K42" s="1"/>
      <c r="L42" s="1"/>
      <c r="M42" s="54"/>
      <c r="N42" s="1"/>
      <c r="O42" s="1"/>
      <c r="P42" s="1"/>
      <c r="Q42" s="1"/>
      <c r="R42" s="1"/>
      <c r="S42" s="1"/>
      <c r="T42" s="54"/>
      <c r="U42" s="1"/>
      <c r="V42" s="1"/>
      <c r="W42" s="1"/>
      <c r="X42" s="1"/>
      <c r="Y42" s="1"/>
      <c r="Z42" s="54"/>
    </row>
    <row r="43" spans="2:26" s="29" customFormat="1" hidden="1">
      <c r="B43" s="1"/>
      <c r="C43" s="1"/>
      <c r="D43" s="1"/>
      <c r="E43" s="1"/>
      <c r="F43" s="1"/>
      <c r="G43" s="1"/>
      <c r="H43" s="1"/>
      <c r="I43" s="1"/>
      <c r="J43" s="1"/>
      <c r="K43" s="1"/>
      <c r="L43" s="1"/>
      <c r="M43" s="54"/>
      <c r="N43" s="1"/>
      <c r="O43" s="1"/>
      <c r="P43" s="1"/>
      <c r="Q43" s="1"/>
      <c r="R43" s="1"/>
      <c r="S43" s="1"/>
      <c r="T43" s="54"/>
      <c r="U43" s="1"/>
      <c r="V43" s="1"/>
      <c r="W43" s="1"/>
      <c r="X43" s="1"/>
      <c r="Y43" s="1"/>
      <c r="Z43" s="54"/>
    </row>
    <row r="44" spans="2:26" s="29" customFormat="1" hidden="1">
      <c r="B44" s="1"/>
      <c r="C44" s="1"/>
      <c r="D44" s="1"/>
      <c r="E44" s="1"/>
      <c r="F44" s="1"/>
      <c r="G44" s="1"/>
      <c r="H44" s="1"/>
      <c r="I44" s="1"/>
      <c r="J44" s="1"/>
      <c r="K44" s="1"/>
      <c r="L44" s="1"/>
      <c r="M44" s="54"/>
      <c r="N44" s="1"/>
      <c r="O44" s="1"/>
      <c r="P44" s="1"/>
      <c r="Q44" s="1"/>
      <c r="R44" s="1"/>
      <c r="S44" s="1"/>
      <c r="T44" s="54"/>
      <c r="U44" s="1"/>
      <c r="V44" s="1"/>
      <c r="W44" s="1"/>
      <c r="X44" s="1"/>
      <c r="Y44" s="1"/>
      <c r="Z44" s="54"/>
    </row>
    <row r="45" spans="2:26" s="29" customFormat="1" hidden="1">
      <c r="B45" s="1"/>
      <c r="C45" s="1"/>
      <c r="D45" s="1"/>
      <c r="E45" s="1"/>
      <c r="F45" s="1"/>
      <c r="G45" s="1"/>
      <c r="H45" s="1"/>
      <c r="I45" s="1"/>
      <c r="J45" s="1"/>
      <c r="K45" s="1"/>
      <c r="L45" s="1"/>
      <c r="M45" s="54"/>
      <c r="N45" s="1"/>
      <c r="O45" s="1"/>
      <c r="P45" s="1"/>
      <c r="Q45" s="1"/>
      <c r="R45" s="1"/>
      <c r="S45" s="1"/>
      <c r="T45" s="54"/>
      <c r="U45" s="1"/>
      <c r="V45" s="1"/>
      <c r="W45" s="1"/>
      <c r="X45" s="1"/>
      <c r="Y45" s="1"/>
      <c r="Z45" s="54"/>
    </row>
    <row r="46" spans="2:26" s="29" customFormat="1" hidden="1">
      <c r="B46" s="1"/>
      <c r="C46" s="1"/>
      <c r="D46" s="1"/>
      <c r="E46" s="1"/>
      <c r="F46" s="1"/>
      <c r="G46" s="1"/>
      <c r="H46" s="1"/>
      <c r="I46" s="1"/>
      <c r="J46" s="1"/>
      <c r="K46" s="1"/>
      <c r="L46" s="1"/>
      <c r="M46" s="54"/>
      <c r="N46" s="1"/>
      <c r="O46" s="1"/>
      <c r="P46" s="1"/>
      <c r="Q46" s="1"/>
      <c r="R46" s="1"/>
      <c r="S46" s="1"/>
      <c r="T46" s="54"/>
      <c r="U46" s="1"/>
      <c r="V46" s="1"/>
      <c r="W46" s="1"/>
      <c r="X46" s="1"/>
      <c r="Y46" s="1"/>
      <c r="Z46" s="54"/>
    </row>
    <row r="47" spans="2:26" s="29" customFormat="1" hidden="1">
      <c r="B47" s="1"/>
      <c r="C47" s="1"/>
      <c r="D47" s="1"/>
      <c r="E47" s="1"/>
      <c r="F47" s="1"/>
      <c r="G47" s="1"/>
      <c r="H47" s="1"/>
      <c r="I47" s="1"/>
      <c r="J47" s="1"/>
      <c r="K47" s="1"/>
      <c r="L47" s="1"/>
      <c r="M47" s="54"/>
      <c r="N47" s="1"/>
      <c r="O47" s="1"/>
      <c r="P47" s="1"/>
      <c r="Q47" s="1"/>
      <c r="R47" s="1"/>
      <c r="S47" s="1"/>
      <c r="T47" s="54"/>
      <c r="U47" s="1"/>
      <c r="V47" s="1"/>
      <c r="W47" s="1"/>
      <c r="X47" s="1"/>
      <c r="Y47" s="1"/>
      <c r="Z47" s="54"/>
    </row>
    <row r="48" spans="2:26" hidden="1"/>
    <row r="49" hidden="1"/>
    <row r="50" hidden="1"/>
  </sheetData>
  <sheetProtection password="C5AA" sheet="1" objects="1" scenarios="1" pivotTables="0"/>
  <mergeCells count="8">
    <mergeCell ref="U10:Y10"/>
    <mergeCell ref="N10:S10"/>
    <mergeCell ref="D2:G3"/>
    <mergeCell ref="D5:F5"/>
    <mergeCell ref="D6:F6"/>
    <mergeCell ref="D7:F7"/>
    <mergeCell ref="D8:F8"/>
    <mergeCell ref="E10:L10"/>
  </mergeCells>
  <conditionalFormatting sqref="I12:I21 K12:K21 U12:U21 X12:X21">
    <cfRule type="expression" dxfId="1" priority="1">
      <formula>$D12="Reciprocating"</formula>
    </cfRule>
  </conditionalFormatting>
  <dataValidations count="1">
    <dataValidation allowBlank="1" showInputMessage="1" showErrorMessage="1" promptTitle="Conversion:" prompt="1 cfm = 0.0283 mᶟ/min" sqref="E12:E20"/>
  </dataValidations>
  <pageMargins left="0.25" right="0.25" top="0.75" bottom="0" header="0.3" footer="0.05"/>
  <pageSetup paperSize="9" scale="49" fitToHeight="0" orientation="landscape" verticalDpi="0"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prompt="- Select from List_x000a_- Leave blank for Reciprocating Compressor">
          <x14:formula1>
            <xm:f>'Drop Down'!$E$7:$E$9</xm:f>
          </x14:formula1>
          <xm:sqref>U12:U20</xm:sqref>
        </x14:dataValidation>
        <x14:dataValidation type="list" allowBlank="1" showInputMessage="1" showErrorMessage="1" prompt="Select Compressor Type">
          <x14:formula1>
            <xm:f>'Drop Down'!$C$6:$C$7</xm:f>
          </x14:formula1>
          <xm:sqref>D12:D20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I38"/>
  <sheetViews>
    <sheetView workbookViewId="0">
      <selection activeCell="E17" sqref="E17"/>
    </sheetView>
  </sheetViews>
  <sheetFormatPr defaultColWidth="0" defaultRowHeight="15" zeroHeight="1"/>
  <cols>
    <col min="1" max="1" width="2" style="3" customWidth="1"/>
    <col min="2" max="2" width="33.85546875" style="3" customWidth="1"/>
    <col min="3" max="3" width="12" style="3" bestFit="1" customWidth="1"/>
    <col min="4" max="5" width="9.140625" style="3" customWidth="1"/>
    <col min="6" max="6" width="36" style="3" customWidth="1"/>
    <col min="7" max="7" width="12" style="3" bestFit="1" customWidth="1"/>
    <col min="8" max="9" width="9.140625" style="3" customWidth="1"/>
    <col min="10" max="16384" width="9.140625" style="3" hidden="1"/>
  </cols>
  <sheetData>
    <row r="1" spans="1:8" ht="15.75" customHeight="1"/>
    <row r="2" spans="1:8" ht="15.75" customHeight="1">
      <c r="A2" s="4"/>
      <c r="C2" s="21" t="s">
        <v>44</v>
      </c>
      <c r="D2" s="21"/>
      <c r="E2" s="21"/>
      <c r="F2" s="21"/>
      <c r="H2" s="4"/>
    </row>
    <row r="3" spans="1:8" ht="15.75" customHeight="1">
      <c r="A3" s="4"/>
      <c r="C3" s="21"/>
      <c r="D3" s="21"/>
      <c r="E3" s="21"/>
      <c r="F3" s="21"/>
      <c r="H3" s="4"/>
    </row>
    <row r="4" spans="1:8" ht="15.75" customHeight="1">
      <c r="A4" s="4"/>
      <c r="B4" s="5"/>
      <c r="C4" s="10"/>
      <c r="D4" s="4"/>
      <c r="F4" s="5"/>
      <c r="G4" s="10"/>
      <c r="H4" s="4"/>
    </row>
    <row r="5" spans="1:8"/>
    <row r="6" spans="1:8">
      <c r="B6" s="19" t="s">
        <v>56</v>
      </c>
      <c r="C6" s="20"/>
      <c r="D6" s="20"/>
      <c r="E6" s="20"/>
      <c r="F6" s="20"/>
      <c r="G6" s="20"/>
      <c r="H6" s="20"/>
    </row>
    <row r="7" spans="1:8" ht="3.75" customHeight="1">
      <c r="B7" s="14"/>
      <c r="F7" s="14"/>
    </row>
    <row r="8" spans="1:8" ht="17.25" customHeight="1">
      <c r="B8" s="13" t="s">
        <v>52</v>
      </c>
      <c r="C8" s="72">
        <f>COUNTIF(Table3[Compressor Type],"Reciprocating")</f>
        <v>0</v>
      </c>
      <c r="D8" s="12"/>
      <c r="F8" s="13" t="s">
        <v>53</v>
      </c>
      <c r="G8" s="72">
        <f>Table3[[#Totals],['#]]-'Energy Performance Dashboard'!$C$8</f>
        <v>0</v>
      </c>
      <c r="H8" s="12"/>
    </row>
    <row r="9" spans="1:8" ht="17.25" customHeight="1">
      <c r="B9" s="13" t="s">
        <v>54</v>
      </c>
      <c r="C9" s="72">
        <f>SUMIF(Table3[Compressor Type],"Reciprocating",Table3[Rated Motor Power
'[kW']])</f>
        <v>0</v>
      </c>
      <c r="D9" s="12" t="s">
        <v>20</v>
      </c>
      <c r="F9" s="13" t="s">
        <v>54</v>
      </c>
      <c r="G9" s="72">
        <f>Table3[[#Totals],[Rated Motor Power
'[kW']]]-'Energy Performance Dashboard'!C9</f>
        <v>0</v>
      </c>
      <c r="H9" s="12" t="s">
        <v>20</v>
      </c>
    </row>
    <row r="10" spans="1:8" ht="17.25" customHeight="1">
      <c r="B10" s="13" t="s">
        <v>57</v>
      </c>
      <c r="C10" s="72">
        <f>SUMIF(Table3[Compressor Type],"Reciprocating",Table3[Discharge Flow Rate
'[mᶟ/min']])</f>
        <v>0</v>
      </c>
      <c r="D10" s="12" t="s">
        <v>58</v>
      </c>
      <c r="F10" s="13" t="s">
        <v>57</v>
      </c>
      <c r="G10" s="72">
        <f>Table3[[#Totals],[Discharge Flow Rate
'[mᶟ/min']]]-'Energy Performance Dashboard'!C10</f>
        <v>0</v>
      </c>
      <c r="H10" s="12" t="s">
        <v>58</v>
      </c>
    </row>
    <row r="11" spans="1:8" ht="17.25" customHeight="1">
      <c r="B11" s="13" t="s">
        <v>18</v>
      </c>
      <c r="C11" s="72" t="e">
        <f>AVERAGEIF(Table3[Compressor Type],"Reciprocating",Table3[Annual Operation
'[hrs/y']])</f>
        <v>#DIV/0!</v>
      </c>
      <c r="D11" s="12" t="s">
        <v>19</v>
      </c>
      <c r="F11" s="13" t="s">
        <v>18</v>
      </c>
      <c r="G11" s="74" t="e">
        <f>AVERAGEIF(Table3[Compressor Type],"Centrifugal / Screw",Table3[Annual Operation
'[hrs/y']])</f>
        <v>#DIV/0!</v>
      </c>
      <c r="H11" s="12" t="s">
        <v>19</v>
      </c>
    </row>
    <row r="12" spans="1:8" ht="17.25" customHeight="1">
      <c r="F12" s="13" t="s">
        <v>50</v>
      </c>
      <c r="G12" s="75" t="e">
        <f>AVERAGEIF(Table3[Compressor Type],"Centrifugal / Screw",Table3[Load Factor
'[%']])</f>
        <v>#DIV/0!</v>
      </c>
      <c r="H12" s="12" t="s">
        <v>51</v>
      </c>
    </row>
    <row r="13" spans="1:8" ht="17.25" customHeight="1"/>
    <row r="14" spans="1:8" ht="17.25" customHeight="1">
      <c r="B14" s="16" t="s">
        <v>55</v>
      </c>
      <c r="C14" s="17"/>
      <c r="D14" s="18"/>
      <c r="F14" s="16" t="s">
        <v>64</v>
      </c>
      <c r="G14" s="17"/>
      <c r="H14" s="18"/>
    </row>
    <row r="15" spans="1:8" ht="3.75" customHeight="1">
      <c r="B15" s="14"/>
      <c r="F15" s="14"/>
    </row>
    <row r="16" spans="1:8" ht="17.25" customHeight="1">
      <c r="B16" s="13" t="s">
        <v>59</v>
      </c>
      <c r="C16" s="70">
        <f>Table3[[#Totals],[Total Energy Consumption
'[kWh/y']]]+'Data Input'!$G$7</f>
        <v>0</v>
      </c>
      <c r="D16" s="12" t="s">
        <v>5</v>
      </c>
      <c r="F16" s="13" t="s">
        <v>65</v>
      </c>
      <c r="G16" s="72">
        <f>Table3[[#Totals],[VFD Installed or Not!]]</f>
        <v>0</v>
      </c>
      <c r="H16" s="12" t="s">
        <v>5</v>
      </c>
    </row>
    <row r="17" spans="2:8" ht="17.25" customHeight="1">
      <c r="B17" s="28" t="s">
        <v>60</v>
      </c>
      <c r="C17" s="70">
        <f>SUMIF(Table3[Compressor Type],"Reciprocating",Table3[Total Energy Consumption
'[kWh/y']])</f>
        <v>0</v>
      </c>
      <c r="D17" s="12" t="s">
        <v>5</v>
      </c>
      <c r="F17" s="13" t="s">
        <v>63</v>
      </c>
      <c r="G17" s="70">
        <f>Table3[[#Totals],[Energy Saving for Installing VFD
'[kWh/y']]]</f>
        <v>0</v>
      </c>
      <c r="H17" s="12" t="s">
        <v>5</v>
      </c>
    </row>
    <row r="18" spans="2:8" ht="17.25" customHeight="1">
      <c r="B18" s="28" t="s">
        <v>61</v>
      </c>
      <c r="C18" s="70">
        <f>SUMIF(Table3[Compressor Type],"Centrifugal / Screw",Table3[Total Energy Consumption
'[kWh/y']])</f>
        <v>0</v>
      </c>
      <c r="D18" s="12" t="s">
        <v>5</v>
      </c>
      <c r="F18" s="13" t="s">
        <v>63</v>
      </c>
      <c r="G18" s="70">
        <f>Table3[[#Totals],[Energy Saving for Installing VFD
'[PKR/y']]]</f>
        <v>0</v>
      </c>
      <c r="H18" s="12" t="s">
        <v>48</v>
      </c>
    </row>
    <row r="19" spans="2:8" ht="17.25" customHeight="1">
      <c r="B19" s="28" t="s">
        <v>70</v>
      </c>
      <c r="C19" s="70">
        <f>'Data Input'!$G$7</f>
        <v>0</v>
      </c>
      <c r="D19" s="12" t="s">
        <v>5</v>
      </c>
      <c r="F19" s="13" t="s">
        <v>69</v>
      </c>
      <c r="G19" s="70">
        <f>Table3[[#Totals],[Investment for VFD
'[PKR']]]</f>
        <v>0</v>
      </c>
      <c r="H19" s="12" t="s">
        <v>66</v>
      </c>
    </row>
    <row r="20" spans="2:8" ht="17.25" customHeight="1">
      <c r="B20" s="13" t="s">
        <v>62</v>
      </c>
      <c r="C20" s="70">
        <f>Table3[[#Totals],[Total Energy Cost
'[PKR/y']]]+'Data Input'!$G$8</f>
        <v>0</v>
      </c>
      <c r="D20" s="12" t="s">
        <v>48</v>
      </c>
      <c r="F20" s="13" t="s">
        <v>67</v>
      </c>
      <c r="G20" s="73" t="e">
        <f>G19*12/G18</f>
        <v>#DIV/0!</v>
      </c>
      <c r="H20" s="12" t="s">
        <v>68</v>
      </c>
    </row>
    <row r="21" spans="2:8" ht="17.25" customHeight="1">
      <c r="B21" s="28" t="s">
        <v>60</v>
      </c>
      <c r="C21" s="70">
        <f>SUMIF(Table3[Compressor Type],"Reciprocating",Table3[Total Energy Cost
'[PKR/y']])</f>
        <v>0</v>
      </c>
      <c r="D21" s="12" t="s">
        <v>48</v>
      </c>
    </row>
    <row r="22" spans="2:8" ht="17.25" customHeight="1">
      <c r="B22" s="28" t="s">
        <v>61</v>
      </c>
      <c r="C22" s="70">
        <f>SUMIF(Table3[Compressor Type],"Centrifugal / Screw",Table3[Total Energy Cost
'[PKR/y']])</f>
        <v>0</v>
      </c>
      <c r="D22" s="12" t="s">
        <v>48</v>
      </c>
    </row>
    <row r="23" spans="2:8" ht="17.25" customHeight="1">
      <c r="B23" s="28" t="s">
        <v>70</v>
      </c>
      <c r="C23" s="71">
        <f>'Data Input'!$G$8</f>
        <v>0</v>
      </c>
      <c r="D23" s="12" t="s">
        <v>48</v>
      </c>
    </row>
    <row r="24" spans="2:8"/>
    <row r="25" spans="2:8" hidden="1"/>
    <row r="26" spans="2:8" ht="3.75" hidden="1" customHeight="1"/>
    <row r="27" spans="2:8" hidden="1"/>
    <row r="28" spans="2:8" hidden="1"/>
    <row r="29" spans="2:8" hidden="1"/>
    <row r="30" spans="2:8" hidden="1"/>
    <row r="31" spans="2:8" hidden="1"/>
    <row r="32" spans="2:8" hidden="1"/>
    <row r="33" hidden="1"/>
    <row r="34" hidden="1"/>
    <row r="35" hidden="1"/>
    <row r="36" hidden="1"/>
    <row r="37" hidden="1"/>
    <row r="38" hidden="1"/>
  </sheetData>
  <sheetProtection password="C5AA" sheet="1" objects="1" scenarios="1"/>
  <mergeCells count="4">
    <mergeCell ref="B14:D14"/>
    <mergeCell ref="F14:H14"/>
    <mergeCell ref="C2:F3"/>
    <mergeCell ref="B6:H6"/>
  </mergeCells>
  <pageMargins left="0.7" right="0.7" top="0.75" bottom="0.75" header="0.3" footer="0.3"/>
  <pageSetup scale="99"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1:P21"/>
  <sheetViews>
    <sheetView workbookViewId="0">
      <selection activeCell="C13" sqref="C13"/>
    </sheetView>
  </sheetViews>
  <sheetFormatPr defaultColWidth="0" defaultRowHeight="15" zeroHeight="1"/>
  <cols>
    <col min="1" max="1" width="3.85546875" customWidth="1"/>
    <col min="2" max="2" width="9.140625" customWidth="1"/>
    <col min="3" max="3" width="18.7109375" bestFit="1" customWidth="1"/>
    <col min="4" max="4" width="9.140625" customWidth="1"/>
    <col min="5" max="5" width="13.42578125" bestFit="1" customWidth="1"/>
    <col min="6" max="10" width="9.140625" customWidth="1"/>
    <col min="11" max="11" width="0" hidden="1" customWidth="1"/>
    <col min="17" max="16384" width="9.140625" hidden="1"/>
  </cols>
  <sheetData>
    <row r="1" spans="1:10" s="3" customFormat="1"/>
    <row r="2" spans="1:10" s="3" customFormat="1"/>
    <row r="3" spans="1:10" s="3" customFormat="1"/>
    <row r="4" spans="1:10">
      <c r="A4" s="4"/>
      <c r="B4" s="3"/>
      <c r="C4" s="3"/>
      <c r="D4" s="3"/>
      <c r="E4" s="3"/>
      <c r="F4" s="3"/>
      <c r="G4" s="3"/>
      <c r="H4" s="3"/>
      <c r="I4" s="3"/>
      <c r="J4" s="3"/>
    </row>
    <row r="5" spans="1:10">
      <c r="A5" s="4"/>
      <c r="B5" s="3"/>
      <c r="C5" s="8" t="s">
        <v>33</v>
      </c>
      <c r="D5" s="9"/>
      <c r="E5" s="8" t="s">
        <v>10</v>
      </c>
      <c r="F5" s="3"/>
      <c r="G5" s="3"/>
      <c r="H5" s="3"/>
      <c r="I5" s="3"/>
      <c r="J5" s="3"/>
    </row>
    <row r="6" spans="1:10" ht="15.75" thickBot="1">
      <c r="A6" s="3"/>
      <c r="C6" s="7" t="s">
        <v>34</v>
      </c>
      <c r="E6" s="7"/>
    </row>
    <row r="7" spans="1:10" ht="16.5" thickTop="1" thickBot="1">
      <c r="A7" s="3"/>
      <c r="C7" s="7" t="s">
        <v>35</v>
      </c>
      <c r="E7" s="7" t="s">
        <v>13</v>
      </c>
    </row>
    <row r="8" spans="1:10" ht="16.5" thickTop="1" thickBot="1">
      <c r="A8" s="3"/>
      <c r="C8" s="7"/>
      <c r="E8" s="7" t="s">
        <v>14</v>
      </c>
    </row>
    <row r="9" spans="1:10" ht="16.5" thickTop="1" thickBot="1">
      <c r="A9" s="3"/>
      <c r="C9" s="7"/>
      <c r="E9" s="7" t="s">
        <v>1</v>
      </c>
    </row>
    <row r="10" spans="1:10" ht="16.5" thickTop="1" thickBot="1">
      <c r="A10" s="3"/>
      <c r="E10" s="7"/>
    </row>
    <row r="11" spans="1:10" ht="15.75" thickTop="1">
      <c r="A11" s="3"/>
    </row>
    <row r="12" spans="1:10">
      <c r="A12" s="3"/>
      <c r="B12" s="3"/>
      <c r="C12" s="3"/>
      <c r="D12" s="3"/>
      <c r="E12" s="3"/>
      <c r="F12" s="3"/>
      <c r="G12" s="3"/>
      <c r="H12" s="3"/>
      <c r="I12" s="3"/>
      <c r="J12" s="3"/>
    </row>
    <row r="13" spans="1:10"/>
    <row r="14" spans="1:10"/>
    <row r="15" spans="1:10"/>
    <row r="16" spans="1:10"/>
    <row r="17"/>
    <row r="18"/>
    <row r="19"/>
    <row r="20"/>
    <row r="21"/>
  </sheetData>
  <sheetProtection password="C5AA" sheet="1" objects="1" scenarios="1"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4749"/>
    <pageSetUpPr fitToPage="1"/>
  </sheetPr>
  <dimension ref="A1:AV50"/>
  <sheetViews>
    <sheetView workbookViewId="0">
      <pane xSplit="3" ySplit="11" topLeftCell="D12" activePane="bottomRight" state="frozen"/>
      <selection pane="topRight" activeCell="D1" sqref="D1"/>
      <selection pane="bottomLeft" activeCell="A9" sqref="A9"/>
      <selection pane="bottomRight" activeCell="G16" sqref="G16"/>
    </sheetView>
  </sheetViews>
  <sheetFormatPr defaultColWidth="0" defaultRowHeight="15" customHeight="1" zeroHeight="1"/>
  <cols>
    <col min="1" max="1" width="2.28515625" style="54" customWidth="1"/>
    <col min="2" max="2" width="6.28515625" style="54" customWidth="1"/>
    <col min="3" max="4" width="21.7109375" style="54" customWidth="1"/>
    <col min="5" max="5" width="11.42578125" style="54" bestFit="1" customWidth="1"/>
    <col min="6" max="12" width="11.85546875" style="54" customWidth="1"/>
    <col min="13" max="13" width="0.42578125" style="54" customWidth="1"/>
    <col min="14" max="16" width="11.85546875" style="54" customWidth="1"/>
    <col min="17" max="17" width="12.5703125" style="54" customWidth="1"/>
    <col min="18" max="18" width="12.5703125" style="54" bestFit="1" customWidth="1"/>
    <col min="19" max="19" width="11.85546875" style="54" customWidth="1"/>
    <col min="20" max="20" width="0.42578125" style="54" customWidth="1"/>
    <col min="21" max="21" width="12" style="54" customWidth="1"/>
    <col min="22" max="22" width="11.85546875" style="54" bestFit="1" customWidth="1"/>
    <col min="23" max="23" width="11.7109375" style="54" customWidth="1"/>
    <col min="24" max="24" width="12.7109375" style="54" bestFit="1" customWidth="1"/>
    <col min="25" max="25" width="11.140625" style="54" bestFit="1" customWidth="1"/>
    <col min="26" max="26" width="0.42578125" style="54" customWidth="1"/>
    <col min="27" max="16384" width="9.140625" style="54" hidden="1"/>
  </cols>
  <sheetData>
    <row r="1" spans="1:27" s="30" customFormat="1"/>
    <row r="2" spans="1:27" s="33" customFormat="1" ht="15" customHeight="1">
      <c r="D2" s="76" t="s">
        <v>72</v>
      </c>
      <c r="E2" s="76"/>
      <c r="F2" s="76"/>
      <c r="G2" s="76"/>
    </row>
    <row r="3" spans="1:27" s="33" customFormat="1" ht="15" customHeight="1">
      <c r="C3" s="77"/>
      <c r="D3" s="76"/>
      <c r="E3" s="76"/>
      <c r="F3" s="76"/>
      <c r="G3" s="76"/>
    </row>
    <row r="4" spans="1:27" s="33" customFormat="1" ht="12" customHeight="1">
      <c r="C4" s="77"/>
      <c r="D4" s="77"/>
      <c r="E4" s="77"/>
      <c r="F4" s="78"/>
      <c r="G4" s="78"/>
    </row>
    <row r="5" spans="1:27" s="33" customFormat="1" ht="15" customHeight="1">
      <c r="D5" s="79" t="s">
        <v>45</v>
      </c>
      <c r="E5" s="80"/>
      <c r="F5" s="80"/>
      <c r="G5" s="81">
        <v>18</v>
      </c>
      <c r="H5" s="82" t="s">
        <v>4</v>
      </c>
      <c r="K5" s="83"/>
      <c r="L5" s="83"/>
      <c r="N5" s="83"/>
      <c r="O5" s="83"/>
      <c r="P5" s="83"/>
      <c r="Q5" s="83"/>
      <c r="R5" s="83"/>
      <c r="S5" s="83"/>
    </row>
    <row r="6" spans="1:27" s="33" customFormat="1" ht="15" customHeight="1">
      <c r="D6" s="84" t="s">
        <v>47</v>
      </c>
      <c r="E6" s="85"/>
      <c r="F6" s="85"/>
      <c r="G6" s="81">
        <v>5</v>
      </c>
      <c r="H6" s="82" t="s">
        <v>20</v>
      </c>
      <c r="K6" s="83"/>
      <c r="L6" s="83"/>
      <c r="N6" s="83"/>
      <c r="O6" s="83"/>
      <c r="P6" s="83"/>
      <c r="Q6" s="83"/>
      <c r="R6" s="83"/>
      <c r="S6" s="83"/>
    </row>
    <row r="7" spans="1:27" s="33" customFormat="1" ht="15" hidden="1" customHeight="1">
      <c r="D7" s="86" t="s">
        <v>46</v>
      </c>
      <c r="E7" s="86"/>
      <c r="F7" s="86"/>
      <c r="G7" s="38">
        <f>G6*MAX(Table32[Annual Operation
'[hrs/y']])</f>
        <v>20000</v>
      </c>
      <c r="H7" s="82" t="s">
        <v>5</v>
      </c>
      <c r="K7" s="83"/>
      <c r="L7" s="83"/>
      <c r="N7" s="83"/>
      <c r="O7" s="83"/>
      <c r="P7" s="83"/>
      <c r="Q7" s="83"/>
      <c r="R7" s="83"/>
      <c r="S7" s="83"/>
    </row>
    <row r="8" spans="1:27" s="33" customFormat="1" ht="15" hidden="1" customHeight="1">
      <c r="D8" s="87" t="s">
        <v>46</v>
      </c>
      <c r="E8" s="87"/>
      <c r="F8" s="87"/>
      <c r="G8" s="38">
        <f>G7*G5</f>
        <v>360000</v>
      </c>
      <c r="H8" s="82" t="s">
        <v>48</v>
      </c>
      <c r="K8" s="83"/>
      <c r="L8" s="83"/>
      <c r="N8" s="83"/>
      <c r="O8" s="83"/>
      <c r="P8" s="83"/>
      <c r="Q8" s="83"/>
      <c r="R8" s="83"/>
      <c r="S8" s="83"/>
    </row>
    <row r="9" spans="1:27" s="33" customFormat="1" ht="6.75" customHeight="1">
      <c r="C9" s="77"/>
      <c r="D9" s="77"/>
      <c r="E9" s="77"/>
      <c r="F9" s="83"/>
      <c r="G9" s="83"/>
    </row>
    <row r="10" spans="1:27" s="30" customFormat="1">
      <c r="F10" s="88" t="s">
        <v>42</v>
      </c>
      <c r="G10" s="88"/>
      <c r="H10" s="88"/>
      <c r="I10" s="88"/>
      <c r="J10" s="88"/>
      <c r="K10" s="88"/>
      <c r="L10" s="88"/>
      <c r="N10" s="88" t="s">
        <v>41</v>
      </c>
      <c r="O10" s="88"/>
      <c r="P10" s="88"/>
      <c r="Q10" s="88"/>
      <c r="R10" s="88"/>
      <c r="S10" s="88"/>
      <c r="U10" s="88" t="s">
        <v>40</v>
      </c>
      <c r="V10" s="88"/>
      <c r="W10" s="88"/>
      <c r="X10" s="88"/>
      <c r="Y10" s="88"/>
    </row>
    <row r="11" spans="1:27" ht="78" customHeight="1">
      <c r="A11" s="30"/>
      <c r="B11" s="54" t="s">
        <v>2</v>
      </c>
      <c r="C11" s="54" t="s">
        <v>21</v>
      </c>
      <c r="D11" s="54" t="s">
        <v>33</v>
      </c>
      <c r="E11" s="54" t="s">
        <v>49</v>
      </c>
      <c r="F11" s="54" t="s">
        <v>3</v>
      </c>
      <c r="G11" s="54" t="s">
        <v>9</v>
      </c>
      <c r="H11" s="54" t="s">
        <v>25</v>
      </c>
      <c r="I11" s="54" t="s">
        <v>26</v>
      </c>
      <c r="J11" s="54" t="s">
        <v>0</v>
      </c>
      <c r="K11" s="54" t="s">
        <v>23</v>
      </c>
      <c r="L11" s="89" t="s">
        <v>24</v>
      </c>
      <c r="M11" s="11" t="s">
        <v>22</v>
      </c>
      <c r="N11" s="89" t="s">
        <v>31</v>
      </c>
      <c r="O11" s="89" t="s">
        <v>29</v>
      </c>
      <c r="P11" s="89" t="s">
        <v>30</v>
      </c>
      <c r="Q11" s="89" t="s">
        <v>32</v>
      </c>
      <c r="R11" s="89" t="s">
        <v>27</v>
      </c>
      <c r="S11" s="89" t="s">
        <v>28</v>
      </c>
      <c r="T11" s="11" t="s">
        <v>16</v>
      </c>
      <c r="U11" s="54" t="s">
        <v>12</v>
      </c>
      <c r="V11" s="89" t="s">
        <v>11</v>
      </c>
      <c r="W11" s="89" t="s">
        <v>37</v>
      </c>
      <c r="X11" s="54" t="s">
        <v>38</v>
      </c>
      <c r="Y11" s="89" t="s">
        <v>17</v>
      </c>
      <c r="Z11" s="11" t="s">
        <v>15</v>
      </c>
      <c r="AA11" s="30"/>
    </row>
    <row r="12" spans="1:27">
      <c r="A12" s="30"/>
      <c r="B12" s="40">
        <f>IF(Table32[[#This Row],[Rated Motor Power
'[kW']]]&gt;0,ROW(Table32[[#This Row],[Compressor Code
'[Identity']]])-ROW(Table32[[#Headers],[Compressor Code
'[Identity']]]),"")</f>
        <v>1</v>
      </c>
      <c r="C12" s="54" t="s">
        <v>36</v>
      </c>
      <c r="D12" s="54" t="s">
        <v>35</v>
      </c>
      <c r="E12" s="54">
        <v>1.91</v>
      </c>
      <c r="F12" s="54">
        <v>15</v>
      </c>
      <c r="G12" s="90">
        <v>0.9</v>
      </c>
      <c r="H12" s="54">
        <v>12.5</v>
      </c>
      <c r="I12" s="54">
        <v>9.1</v>
      </c>
      <c r="J12" s="54">
        <v>1728</v>
      </c>
      <c r="K12" s="54">
        <v>800</v>
      </c>
      <c r="L12" s="55">
        <f>IF(Table32[[#This Row],[Compressor Type]]="Reciprocating",1,IF(Table32[[#This Row],[Annual Operation
'[hrs/y']]]&gt;0,Table32[[#This Row],[On-load Operation
'[hrs/y']]]/Table32[[#This Row],[Annual Operation
'[hrs/y']]]))</f>
        <v>0.46296296296296297</v>
      </c>
      <c r="M12" s="46"/>
      <c r="N12" s="66">
        <f>IF(Table32[[#This Row],[Compressor Type]]="Reciprocating",Table32[[#This Row],[Annual Operation
'[hrs/y']]]*Table32[[#This Row],[On-load Motor Power
'[kW']]],((Table32[[#This Row],[On-load Motor Power
'[kW']]]*Table32[[#This Row],[On-load Operation
'[hrs/y']]])+Table32[[#This Row],[Off-load Motor Power
'[kW']]]*(Table32[[#This Row],[Annual Operation
'[hrs/y']]]-Table32[[#This Row],[On-load Operation
'[hrs/y']]])))</f>
        <v>18444.8</v>
      </c>
      <c r="O12" s="66">
        <f>Table32[[#This Row],[Total Energy Consumption
'[kWh/y']]]*Table32[[#This Row],[Load Factor
'[%']]]</f>
        <v>8539.2592592592591</v>
      </c>
      <c r="P12" s="66">
        <f>Table32[[#This Row],[Total Energy Consumption
'[kWh/y']]]-Table32[[#This Row],[On-load Energy Consumption
'[kWh/y']]]</f>
        <v>9905.5407407407401</v>
      </c>
      <c r="Q12" s="66">
        <f>Table32[[#This Row],[Total Energy Consumption
'[kWh/y']]]*$G$5</f>
        <v>332006.39999999997</v>
      </c>
      <c r="R12" s="66">
        <f>Table32[[#This Row],[On-load Energy Consumption
'[kWh/y']]]*$G$5</f>
        <v>153706.66666666666</v>
      </c>
      <c r="S12" s="66">
        <f>Table32[[#This Row],[Off-load Energy Consumption
'[kWh/y']]]*$G$5</f>
        <v>178299.73333333334</v>
      </c>
      <c r="T12" s="46"/>
      <c r="U12" s="54" t="s">
        <v>14</v>
      </c>
      <c r="V12" s="67">
        <f>IF(Table32[[#This Row],[VFD Installed or Not!]]="No", IF(Table32[[#This Row],[Compressor Type]]="Centrifugal / Screw",Table32[[#This Row],[Off-load Energy Consumption
'[kWh/y']]]*0.7,"N/A"),"N/A")</f>
        <v>6933.8785185185179</v>
      </c>
      <c r="W12" s="68">
        <f>IF(Table32[[#This Row],[Energy Saving for Installing VFD
'[kWh/y']]]="N/A","N/A",Table32[[#This Row],[Energy Saving for Installing VFD
'[kWh/y']]]*$G$5)</f>
        <v>124809.81333333332</v>
      </c>
      <c r="X12" s="91">
        <v>120000</v>
      </c>
      <c r="Y12" s="68">
        <f>IF(Table32[[#This Row],[Energy Saving for Installing VFD
'[PKR/y']]]="N/A","N/A", Table32[[#This Row],[Investment for VFD
'[PKR']]]*12/Table32[[#This Row],[Energy Saving for Installing VFD
'[PKR/y']]])</f>
        <v>11.537554311968632</v>
      </c>
      <c r="Z12" s="46"/>
      <c r="AA12" s="30"/>
    </row>
    <row r="13" spans="1:27">
      <c r="A13" s="30"/>
      <c r="B13" s="40">
        <f>IF(Table32[[#This Row],[Rated Motor Power
'[kW']]]&gt;0,ROW(Table32[[#This Row],[Compressor Code
'[Identity']]])-ROW(Table32[[#Headers],[Compressor Code
'[Identity']]]),"")</f>
        <v>2</v>
      </c>
      <c r="C13" s="54" t="s">
        <v>39</v>
      </c>
      <c r="D13" s="54" t="s">
        <v>34</v>
      </c>
      <c r="E13" s="54">
        <v>1.6</v>
      </c>
      <c r="F13" s="54">
        <v>20</v>
      </c>
      <c r="G13" s="90">
        <v>0.85</v>
      </c>
      <c r="H13" s="54">
        <v>16</v>
      </c>
      <c r="J13" s="54">
        <v>1425</v>
      </c>
      <c r="L13" s="55">
        <f>IF(Table32[[#This Row],[Compressor Type]]="Reciprocating",1,IF(Table32[[#This Row],[Annual Operation
'[hrs/y']]]&gt;0,Table32[[#This Row],[On-load Operation
'[hrs/y']]]/Table32[[#This Row],[Annual Operation
'[hrs/y']]]))</f>
        <v>1</v>
      </c>
      <c r="M13" s="46"/>
      <c r="N13" s="66">
        <f>IF(Table32[[#This Row],[Compressor Type]]="Reciprocating",Table32[[#This Row],[Annual Operation
'[hrs/y']]]*Table32[[#This Row],[On-load Motor Power
'[kW']]],((Table32[[#This Row],[On-load Motor Power
'[kW']]]*Table32[[#This Row],[On-load Operation
'[hrs/y']]])+Table32[[#This Row],[Off-load Motor Power
'[kW']]]*(Table32[[#This Row],[Annual Operation
'[hrs/y']]]-Table32[[#This Row],[On-load Operation
'[hrs/y']]])))</f>
        <v>22800</v>
      </c>
      <c r="O13" s="66">
        <f>Table32[[#This Row],[Total Energy Consumption
'[kWh/y']]]*Table32[[#This Row],[Load Factor
'[%']]]</f>
        <v>22800</v>
      </c>
      <c r="P13" s="66">
        <f>Table32[[#This Row],[Total Energy Consumption
'[kWh/y']]]-Table32[[#This Row],[On-load Energy Consumption
'[kWh/y']]]</f>
        <v>0</v>
      </c>
      <c r="Q13" s="66">
        <f>Table32[[#This Row],[Total Energy Consumption
'[kWh/y']]]*$G$5</f>
        <v>410400</v>
      </c>
      <c r="R13" s="66">
        <f>Table32[[#This Row],[On-load Energy Consumption
'[kWh/y']]]*$G$5</f>
        <v>410400</v>
      </c>
      <c r="S13" s="66">
        <f>Table32[[#This Row],[Off-load Energy Consumption
'[kWh/y']]]*$G$5</f>
        <v>0</v>
      </c>
      <c r="T13" s="46"/>
      <c r="V13" s="59" t="str">
        <f>IF(Table32[[#This Row],[VFD Installed or Not!]]="No", IF(Table32[[#This Row],[Compressor Type]]="Centrifugal / Screw",Table32[[#This Row],[Off-load Energy Consumption
'[kWh/y']]]*0.7,"N/A"),"N/A")</f>
        <v>N/A</v>
      </c>
      <c r="W13" s="60" t="str">
        <f>IF(Table32[[#This Row],[Energy Saving for Installing VFD
'[kWh/y']]]="N/A","N/A",Table32[[#This Row],[Energy Saving for Installing VFD
'[kWh/y']]]*$G$5)</f>
        <v>N/A</v>
      </c>
      <c r="X13" s="91"/>
      <c r="Y13" s="60" t="str">
        <f>IF(Table32[[#This Row],[Energy Saving for Installing VFD
'[PKR/y']]]="N/A","N/A", Table32[[#This Row],[Investment for VFD
'[PKR']]]*12/Table32[[#This Row],[Energy Saving for Installing VFD
'[PKR/y']]])</f>
        <v>N/A</v>
      </c>
      <c r="Z13" s="46"/>
      <c r="AA13" s="30"/>
    </row>
    <row r="14" spans="1:27">
      <c r="A14" s="30"/>
      <c r="B14" s="40">
        <f>IF(Table32[[#This Row],[Rated Motor Power
'[kW']]]&gt;0,ROW(Table32[[#This Row],[Compressor Code
'[Identity']]])-ROW(Table32[[#Headers],[Compressor Code
'[Identity']]]),"")</f>
        <v>3</v>
      </c>
      <c r="C14" s="54" t="s">
        <v>71</v>
      </c>
      <c r="D14" s="54" t="s">
        <v>35</v>
      </c>
      <c r="E14" s="54">
        <v>3.2</v>
      </c>
      <c r="F14" s="54">
        <v>35</v>
      </c>
      <c r="G14" s="92">
        <v>0.92</v>
      </c>
      <c r="H14" s="54">
        <v>32</v>
      </c>
      <c r="I14" s="54">
        <v>20</v>
      </c>
      <c r="J14" s="54">
        <v>4000</v>
      </c>
      <c r="K14" s="54">
        <v>3500</v>
      </c>
      <c r="L14" s="55">
        <f>IF(Table32[[#This Row],[Compressor Type]]="Reciprocating",1,IF(Table32[[#This Row],[Annual Operation
'[hrs/y']]]&gt;0,Table32[[#This Row],[On-load Operation
'[hrs/y']]]/Table32[[#This Row],[Annual Operation
'[hrs/y']]]))</f>
        <v>0.875</v>
      </c>
      <c r="M14" s="46"/>
      <c r="N14" s="66">
        <f>IF(Table32[[#This Row],[Compressor Type]]="Reciprocating",Table32[[#This Row],[Annual Operation
'[hrs/y']]]*Table32[[#This Row],[On-load Motor Power
'[kW']]],((Table32[[#This Row],[On-load Motor Power
'[kW']]]*Table32[[#This Row],[On-load Operation
'[hrs/y']]])+Table32[[#This Row],[Off-load Motor Power
'[kW']]]*(Table32[[#This Row],[Annual Operation
'[hrs/y']]]-Table32[[#This Row],[On-load Operation
'[hrs/y']]])))</f>
        <v>122000</v>
      </c>
      <c r="O14" s="66">
        <f>Table32[[#This Row],[Total Energy Consumption
'[kWh/y']]]*Table32[[#This Row],[Load Factor
'[%']]]</f>
        <v>106750</v>
      </c>
      <c r="P14" s="66">
        <f>Table32[[#This Row],[Total Energy Consumption
'[kWh/y']]]-Table32[[#This Row],[On-load Energy Consumption
'[kWh/y']]]</f>
        <v>15250</v>
      </c>
      <c r="Q14" s="66">
        <f>Table32[[#This Row],[Total Energy Consumption
'[kWh/y']]]*$G$5</f>
        <v>2196000</v>
      </c>
      <c r="R14" s="66">
        <f>Table32[[#This Row],[On-load Energy Consumption
'[kWh/y']]]*$G$5</f>
        <v>1921500</v>
      </c>
      <c r="S14" s="66">
        <f>Table32[[#This Row],[Off-load Energy Consumption
'[kWh/y']]]*$G$5</f>
        <v>274500</v>
      </c>
      <c r="T14" s="46"/>
      <c r="U14" s="54" t="s">
        <v>14</v>
      </c>
      <c r="V14" s="59">
        <f>IF(Table32[[#This Row],[VFD Installed or Not!]]="No", IF(Table32[[#This Row],[Compressor Type]]="Centrifugal / Screw",Table32[[#This Row],[Off-load Energy Consumption
'[kWh/y']]]*0.7,"N/A"),"N/A")</f>
        <v>10675</v>
      </c>
      <c r="W14" s="60">
        <f>IF(Table32[[#This Row],[Energy Saving for Installing VFD
'[kWh/y']]]="N/A","N/A",Table32[[#This Row],[Energy Saving for Installing VFD
'[kWh/y']]]*$G$5)</f>
        <v>192150</v>
      </c>
      <c r="X14" s="91">
        <v>325000</v>
      </c>
      <c r="Y14" s="60">
        <f>IF(Table32[[#This Row],[Energy Saving for Installing VFD
'[PKR/y']]]="N/A","N/A", Table32[[#This Row],[Investment for VFD
'[PKR']]]*12/Table32[[#This Row],[Energy Saving for Installing VFD
'[PKR/y']]])</f>
        <v>20.296643247462921</v>
      </c>
      <c r="Z14" s="46"/>
      <c r="AA14" s="30"/>
    </row>
    <row r="15" spans="1:27">
      <c r="A15" s="30"/>
      <c r="B15" s="48">
        <f>SUBTOTAL(102,Table32['#])</f>
        <v>3</v>
      </c>
      <c r="C15" s="93"/>
      <c r="D15" s="93"/>
      <c r="E15" s="93">
        <f>SUBTOTAL(109,Table32[Discharge Flow Rate
'[mᶟ/min']])</f>
        <v>6.71</v>
      </c>
      <c r="F15" s="93">
        <f>SUBTOTAL(109,Table32[Rated Motor Power
'[kW']])</f>
        <v>70</v>
      </c>
      <c r="G15" s="94"/>
      <c r="H15" s="95">
        <f>SUBTOTAL(109,Table32[On-load Motor Power
'[kW']])</f>
        <v>60.5</v>
      </c>
      <c r="I15" s="95">
        <f>SUBTOTAL(109,Table32[Off-load Motor Power
'[kW']])</f>
        <v>29.1</v>
      </c>
      <c r="J15" s="93">
        <f>SUBTOTAL(101,Table32[Annual Operation
'[hrs/y']])</f>
        <v>2384.3333333333335</v>
      </c>
      <c r="K15" s="93"/>
      <c r="L15" s="96">
        <f>SUBTOTAL(101,Table32[Load Factor
'[%']])</f>
        <v>0.7793209876543209</v>
      </c>
      <c r="M15" s="46"/>
      <c r="N15" s="97">
        <f>SUBTOTAL(109,Table32[Total Energy Consumption
'[kWh/y']])</f>
        <v>163244.79999999999</v>
      </c>
      <c r="O15" s="97">
        <f>SUBTOTAL(109,Table32[On-load Energy Consumption
'[kWh/y']])</f>
        <v>138089.25925925927</v>
      </c>
      <c r="P15" s="97">
        <f>SUBTOTAL(109,Table32[Off-load Energy Consumption
'[kWh/y']])</f>
        <v>25155.54074074074</v>
      </c>
      <c r="Q15" s="97">
        <f>SUBTOTAL(109,Table32[Total Energy Cost
'[PKR/y']])</f>
        <v>2938406.4</v>
      </c>
      <c r="R15" s="98">
        <f>SUBTOTAL(109,Table32[On-load Energy Cost
'[PKR/y']])</f>
        <v>2485606.6666666665</v>
      </c>
      <c r="S15" s="98">
        <f>SUBTOTAL(109,Table32[Off-load Energy Cost
'[PKR/y']])</f>
        <v>452799.73333333334</v>
      </c>
      <c r="T15" s="46"/>
      <c r="U15" s="93">
        <f>COUNTIF(Table32[VFD Installed or Not!],"No")</f>
        <v>2</v>
      </c>
      <c r="V15" s="69">
        <f>SUBTOTAL(109,Table32[Energy Saving for Installing VFD
'[kWh/y']])</f>
        <v>17608.878518518519</v>
      </c>
      <c r="W15" s="69">
        <f>SUBTOTAL(109,Table32[Energy Saving for Installing VFD
'[PKR/y']])</f>
        <v>316959.81333333335</v>
      </c>
      <c r="X15" s="69">
        <f>SUBTOTAL(109,Table32[Investment for VFD
'[PKR']])</f>
        <v>445000</v>
      </c>
      <c r="Y15" s="69">
        <f>IF(Table32[[#Totals],[Energy Saving for Installing VFD
'[PKR/y']]]=0,"N/A",Table32[[#Totals],[Investment for VFD
'[PKR']]]*12/Table32[[#Totals],[Energy Saving for Installing VFD
'[PKR/y']]])</f>
        <v>16.84756166354801</v>
      </c>
      <c r="Z15" s="46"/>
      <c r="AA15" s="30"/>
    </row>
    <row r="16" spans="1:27">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row>
    <row r="17" spans="1:48">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row>
    <row r="18" spans="1:48">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row>
    <row r="19" spans="1:48">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row>
    <row r="20" spans="1:48">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row>
    <row r="21" spans="1:48">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row>
    <row r="22" spans="1:48">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48">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row>
    <row r="24" spans="1:48">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48">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48">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48">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48">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48">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48">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48">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48">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s="30" customFormat="1"/>
    <row r="34" spans="2:26" s="30" customFormat="1"/>
    <row r="35" spans="2:26" s="30" customFormat="1">
      <c r="B35" s="54"/>
      <c r="C35" s="54"/>
      <c r="D35" s="54"/>
      <c r="E35" s="54"/>
      <c r="F35" s="54"/>
      <c r="G35" s="54"/>
      <c r="H35" s="54"/>
      <c r="I35" s="54"/>
      <c r="J35" s="54"/>
      <c r="K35" s="54"/>
      <c r="L35" s="54"/>
      <c r="M35" s="54"/>
      <c r="N35" s="54"/>
      <c r="O35" s="54"/>
      <c r="P35" s="54"/>
      <c r="Q35" s="54"/>
      <c r="R35" s="54"/>
      <c r="S35" s="54"/>
      <c r="T35" s="54"/>
      <c r="U35" s="54"/>
      <c r="V35" s="54"/>
      <c r="W35" s="54"/>
      <c r="X35" s="54"/>
      <c r="Y35" s="54"/>
      <c r="Z35" s="54"/>
    </row>
    <row r="36" spans="2:26" s="30" customFormat="1">
      <c r="B36" s="54"/>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2:26" s="30" customFormat="1">
      <c r="B37" s="54"/>
      <c r="C37" s="54"/>
      <c r="D37" s="54"/>
      <c r="E37" s="54"/>
      <c r="F37" s="54"/>
      <c r="G37" s="54"/>
      <c r="H37" s="54"/>
      <c r="I37" s="54"/>
      <c r="J37" s="54"/>
      <c r="K37" s="54"/>
      <c r="L37" s="54"/>
      <c r="M37" s="54"/>
      <c r="N37" s="54"/>
      <c r="O37" s="54"/>
      <c r="P37" s="54"/>
      <c r="Q37" s="54"/>
      <c r="R37" s="54"/>
      <c r="S37" s="54"/>
      <c r="T37" s="54"/>
      <c r="U37" s="54"/>
      <c r="V37" s="54"/>
      <c r="W37" s="54"/>
      <c r="X37" s="54"/>
      <c r="Y37" s="54"/>
      <c r="Z37" s="54"/>
    </row>
    <row r="38" spans="2:26" s="30" customFormat="1">
      <c r="B38" s="54"/>
      <c r="C38" s="54"/>
      <c r="D38" s="54"/>
      <c r="E38" s="54"/>
      <c r="F38" s="54"/>
      <c r="G38" s="54"/>
      <c r="H38" s="54"/>
      <c r="I38" s="54"/>
      <c r="J38" s="54"/>
      <c r="K38" s="54"/>
      <c r="L38" s="54"/>
      <c r="M38" s="54"/>
      <c r="N38" s="54"/>
      <c r="O38" s="54"/>
      <c r="P38" s="54"/>
      <c r="Q38" s="54"/>
      <c r="R38" s="54"/>
      <c r="S38" s="54"/>
      <c r="T38" s="54"/>
      <c r="U38" s="54"/>
      <c r="V38" s="54"/>
      <c r="W38" s="54"/>
      <c r="X38" s="54"/>
      <c r="Y38" s="54"/>
      <c r="Z38" s="54"/>
    </row>
    <row r="39" spans="2:26" s="30" customFormat="1">
      <c r="B39" s="54"/>
      <c r="C39" s="54"/>
      <c r="D39" s="54"/>
      <c r="E39" s="54"/>
      <c r="F39" s="54"/>
      <c r="G39" s="54"/>
      <c r="H39" s="54"/>
      <c r="I39" s="54"/>
      <c r="J39" s="54"/>
      <c r="K39" s="54"/>
      <c r="L39" s="54"/>
      <c r="M39" s="54"/>
      <c r="N39" s="54"/>
      <c r="O39" s="54"/>
      <c r="P39" s="54"/>
      <c r="Q39" s="54"/>
      <c r="R39" s="54"/>
      <c r="S39" s="54"/>
      <c r="T39" s="54"/>
      <c r="U39" s="54"/>
      <c r="V39" s="54"/>
      <c r="W39" s="54"/>
      <c r="X39" s="54"/>
      <c r="Y39" s="54"/>
      <c r="Z39" s="54"/>
    </row>
    <row r="40" spans="2:26" s="30" customFormat="1">
      <c r="B40" s="54"/>
      <c r="C40" s="54"/>
      <c r="D40" s="54"/>
      <c r="E40" s="54"/>
      <c r="F40" s="54"/>
      <c r="G40" s="54"/>
      <c r="H40" s="54"/>
      <c r="I40" s="54"/>
      <c r="J40" s="54"/>
      <c r="K40" s="54"/>
      <c r="L40" s="54"/>
      <c r="M40" s="54"/>
      <c r="N40" s="54"/>
      <c r="O40" s="54"/>
      <c r="P40" s="54"/>
      <c r="Q40" s="54"/>
      <c r="R40" s="54"/>
      <c r="S40" s="54"/>
      <c r="T40" s="54"/>
      <c r="U40" s="54"/>
      <c r="V40" s="54"/>
      <c r="W40" s="54"/>
      <c r="X40" s="54"/>
      <c r="Y40" s="54"/>
      <c r="Z40" s="54"/>
    </row>
    <row r="41" spans="2:26" s="30" customFormat="1" hidden="1">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2:26" s="30" customFormat="1" hidden="1">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2:26" s="30" customFormat="1" hidden="1">
      <c r="B43" s="54"/>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2:26" s="30" customFormat="1" hidden="1">
      <c r="B44" s="54"/>
      <c r="C44" s="54"/>
      <c r="D44" s="54"/>
      <c r="E44" s="54"/>
      <c r="F44" s="54"/>
      <c r="G44" s="54"/>
      <c r="H44" s="54"/>
      <c r="I44" s="54"/>
      <c r="J44" s="54"/>
      <c r="K44" s="54"/>
      <c r="L44" s="54"/>
      <c r="M44" s="54"/>
      <c r="N44" s="54"/>
      <c r="O44" s="54"/>
      <c r="P44" s="54"/>
      <c r="Q44" s="54"/>
      <c r="R44" s="54"/>
      <c r="S44" s="54"/>
      <c r="T44" s="54"/>
      <c r="U44" s="54"/>
      <c r="V44" s="54"/>
      <c r="W44" s="54"/>
      <c r="X44" s="54"/>
      <c r="Y44" s="54"/>
      <c r="Z44" s="54"/>
    </row>
    <row r="45" spans="2:26" s="30" customFormat="1" hidden="1">
      <c r="B45" s="54"/>
      <c r="C45" s="54"/>
      <c r="D45" s="54"/>
      <c r="E45" s="54"/>
      <c r="F45" s="54"/>
      <c r="G45" s="54"/>
      <c r="H45" s="54"/>
      <c r="I45" s="54"/>
      <c r="J45" s="54"/>
      <c r="K45" s="54"/>
      <c r="L45" s="54"/>
      <c r="M45" s="54"/>
      <c r="N45" s="54"/>
      <c r="O45" s="54"/>
      <c r="P45" s="54"/>
      <c r="Q45" s="54"/>
      <c r="R45" s="54"/>
      <c r="S45" s="54"/>
      <c r="T45" s="54"/>
      <c r="U45" s="54"/>
      <c r="V45" s="54"/>
      <c r="W45" s="54"/>
      <c r="X45" s="54"/>
      <c r="Y45" s="54"/>
      <c r="Z45" s="54"/>
    </row>
    <row r="46" spans="2:26" s="30" customFormat="1" hidden="1">
      <c r="B46" s="54"/>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2:26" s="30" customFormat="1" hidden="1">
      <c r="B47" s="54"/>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2:26" hidden="1"/>
    <row r="49" hidden="1"/>
    <row r="50"/>
  </sheetData>
  <sheetProtection password="C5AA" sheet="1" objects="1" scenarios="1"/>
  <mergeCells count="8">
    <mergeCell ref="N10:S10"/>
    <mergeCell ref="U10:Y10"/>
    <mergeCell ref="D2:G3"/>
    <mergeCell ref="D5:F5"/>
    <mergeCell ref="D6:F6"/>
    <mergeCell ref="D7:F7"/>
    <mergeCell ref="D8:F8"/>
    <mergeCell ref="F10:L10"/>
  </mergeCells>
  <conditionalFormatting sqref="I12:I15 K12:K15 U12:U15 X12:X15">
    <cfRule type="expression" dxfId="0" priority="1">
      <formula>$D12="Reciprocating"</formula>
    </cfRule>
  </conditionalFormatting>
  <dataValidations count="1">
    <dataValidation allowBlank="1" showInputMessage="1" showErrorMessage="1" promptTitle="Conversion:" prompt="1 cfm = 0.0283 mᶟ/min" sqref="E12:E14"/>
  </dataValidations>
  <pageMargins left="0.25" right="0.25" top="0.75" bottom="0" header="0.3" footer="0.05"/>
  <pageSetup paperSize="9" scale="51" fitToHeight="0" orientation="landscape" verticalDpi="0"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prompt="Select Compressor Type">
          <x14:formula1>
            <xm:f>'Drop Down'!$C$6:$C$7</xm:f>
          </x14:formula1>
          <xm:sqref>D12:D14</xm:sqref>
        </x14:dataValidation>
        <x14:dataValidation type="list" allowBlank="1" showInputMessage="1" showErrorMessage="1" prompt="- Select from List_x000a_- Leave blank for Reciprocating Compressor">
          <x14:formula1>
            <xm:f>'Drop Down'!$E$7:$E$9</xm:f>
          </x14:formula1>
          <xm:sqref>U12:U14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Data Input</vt:lpstr>
      <vt:lpstr>Energy Performance Dashboard</vt:lpstr>
      <vt:lpstr>Drop Down</vt:lpstr>
      <vt:lpstr>Example 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M.Salman</dc:creator>
  <cp:lastModifiedBy>salman</cp:lastModifiedBy>
  <cp:lastPrinted>2017-04-12T08:10:58Z</cp:lastPrinted>
  <dcterms:created xsi:type="dcterms:W3CDTF">2017-02-09T10:17:42Z</dcterms:created>
  <dcterms:modified xsi:type="dcterms:W3CDTF">2017-04-12T08:11:02Z</dcterms:modified>
</cp:coreProperties>
</file>