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5.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EECA\Website Data\Self-Assessment Tools for Website\"/>
    </mc:Choice>
  </mc:AlternateContent>
  <workbookProtection workbookPassword="C5AA" lockStructure="1"/>
  <bookViews>
    <workbookView xWindow="0" yWindow="0" windowWidth="20490" windowHeight="7620"/>
  </bookViews>
  <sheets>
    <sheet name="Home" sheetId="11" r:id="rId1"/>
    <sheet name="Data Input" sheetId="4" r:id="rId2"/>
    <sheet name="Dropdown" sheetId="13" state="hidden" r:id="rId3"/>
    <sheet name="Boiler Efficiency Dashboard" sheetId="10" r:id="rId4"/>
    <sheet name="Steam and Water Table" sheetId="12" r:id="rId5"/>
    <sheet name="Example Data" sheetId="14" r:id="rId6"/>
  </sheets>
  <calcPr calcId="162913"/>
</workbook>
</file>

<file path=xl/calcChain.xml><?xml version="1.0" encoding="utf-8"?>
<calcChain xmlns="http://schemas.openxmlformats.org/spreadsheetml/2006/main">
  <c r="B12" i="4" l="1"/>
  <c r="B7" i="4"/>
  <c r="B8" i="4"/>
  <c r="B9" i="4"/>
  <c r="B10" i="4"/>
  <c r="B11" i="4"/>
  <c r="B13" i="4"/>
  <c r="B14" i="4"/>
  <c r="B15" i="4"/>
  <c r="B16" i="4"/>
  <c r="B17" i="4"/>
  <c r="B6" i="4"/>
  <c r="E6" i="14"/>
  <c r="E7" i="14"/>
  <c r="E7" i="4"/>
  <c r="E8" i="4"/>
  <c r="E9" i="4"/>
  <c r="E10" i="4"/>
  <c r="E11" i="4"/>
  <c r="E12" i="4"/>
  <c r="E13" i="4"/>
  <c r="E14" i="4"/>
  <c r="E15" i="4"/>
  <c r="E16" i="4"/>
  <c r="E17" i="4"/>
  <c r="T8" i="14"/>
  <c r="S8" i="14"/>
  <c r="M8" i="14"/>
  <c r="F8" i="14"/>
  <c r="W7" i="14"/>
  <c r="V7" i="14"/>
  <c r="O7" i="14"/>
  <c r="P7" i="14" s="1"/>
  <c r="I7" i="14"/>
  <c r="J7" i="14" s="1"/>
  <c r="B7" i="14"/>
  <c r="W6" i="14"/>
  <c r="V6" i="14"/>
  <c r="O6" i="14"/>
  <c r="P6" i="14" s="1"/>
  <c r="I6" i="14"/>
  <c r="K6" i="14" s="1"/>
  <c r="E8" i="14"/>
  <c r="B6" i="14"/>
  <c r="Y7" i="14" l="1"/>
  <c r="V8" i="14"/>
  <c r="W8" i="14"/>
  <c r="K7" i="14"/>
  <c r="K8" i="14" s="1"/>
  <c r="B8" i="14"/>
  <c r="U6" i="14"/>
  <c r="L6" i="14"/>
  <c r="J6" i="14"/>
  <c r="I11" i="4"/>
  <c r="K11" i="4" s="1"/>
  <c r="L11" i="4" s="1"/>
  <c r="X11" i="4" s="1"/>
  <c r="O11" i="4"/>
  <c r="P11" i="4" s="1"/>
  <c r="U11" i="4"/>
  <c r="V11" i="4"/>
  <c r="W11" i="4"/>
  <c r="Y11" i="4"/>
  <c r="I10" i="4"/>
  <c r="J10" i="4" s="1"/>
  <c r="O10" i="4"/>
  <c r="P10" i="4" s="1"/>
  <c r="U10" i="4"/>
  <c r="V10" i="4"/>
  <c r="W10" i="4"/>
  <c r="Y10" i="4"/>
  <c r="Y8" i="4"/>
  <c r="Y9" i="4"/>
  <c r="Y12" i="4"/>
  <c r="Y13" i="4"/>
  <c r="Y14" i="4"/>
  <c r="Y15" i="4"/>
  <c r="Y16" i="4"/>
  <c r="Y17" i="4"/>
  <c r="V6" i="4"/>
  <c r="V8" i="4"/>
  <c r="V9" i="4"/>
  <c r="V12" i="4"/>
  <c r="V13" i="4"/>
  <c r="V14" i="4"/>
  <c r="V15" i="4"/>
  <c r="V16" i="4"/>
  <c r="V17" i="4"/>
  <c r="U8" i="4"/>
  <c r="U9" i="4"/>
  <c r="U12" i="4"/>
  <c r="U13" i="4"/>
  <c r="U14" i="4"/>
  <c r="U15" i="4"/>
  <c r="U16" i="4"/>
  <c r="U17" i="4"/>
  <c r="S18" i="4"/>
  <c r="M18" i="4"/>
  <c r="F18" i="4"/>
  <c r="W8" i="4"/>
  <c r="W14" i="4"/>
  <c r="W6" i="4"/>
  <c r="W12" i="4"/>
  <c r="W13" i="4"/>
  <c r="W16" i="4"/>
  <c r="W17" i="4"/>
  <c r="L7" i="14" l="1"/>
  <c r="X7" i="14" s="1"/>
  <c r="U7" i="14"/>
  <c r="U8" i="14"/>
  <c r="Q7" i="14"/>
  <c r="Q6" i="14"/>
  <c r="Y6" i="14"/>
  <c r="Y8" i="14" s="1"/>
  <c r="X6" i="14"/>
  <c r="L8" i="14"/>
  <c r="X8" i="14" s="1"/>
  <c r="K10" i="4"/>
  <c r="L10" i="4" s="1"/>
  <c r="X10" i="4" s="1"/>
  <c r="J11" i="4"/>
  <c r="Q11" i="4" s="1"/>
  <c r="Q10" i="4"/>
  <c r="B18" i="4"/>
  <c r="B8" i="10" s="1"/>
  <c r="W15" i="4"/>
  <c r="W9" i="4"/>
  <c r="Q8" i="14" l="1"/>
  <c r="O6" i="4"/>
  <c r="P6" i="4" s="1"/>
  <c r="O7" i="4"/>
  <c r="P7" i="4" s="1"/>
  <c r="O8" i="4"/>
  <c r="P8" i="4" s="1"/>
  <c r="O9" i="4"/>
  <c r="P9" i="4" s="1"/>
  <c r="O12" i="4"/>
  <c r="P12" i="4" s="1"/>
  <c r="O13" i="4"/>
  <c r="P13" i="4" s="1"/>
  <c r="O14" i="4"/>
  <c r="P14" i="4" s="1"/>
  <c r="O15" i="4"/>
  <c r="P15" i="4" s="1"/>
  <c r="O16" i="4"/>
  <c r="P16" i="4" s="1"/>
  <c r="O17" i="4"/>
  <c r="P17" i="4" s="1"/>
  <c r="I6" i="4" l="1"/>
  <c r="I7" i="4"/>
  <c r="J7" i="4" s="1"/>
  <c r="I8" i="4"/>
  <c r="J8" i="4" s="1"/>
  <c r="I9" i="4"/>
  <c r="J9" i="4" s="1"/>
  <c r="I12" i="4"/>
  <c r="J12" i="4" s="1"/>
  <c r="I13" i="4"/>
  <c r="J13" i="4" s="1"/>
  <c r="I14" i="4"/>
  <c r="J14" i="4" s="1"/>
  <c r="I15" i="4"/>
  <c r="J15" i="4" s="1"/>
  <c r="I16" i="4"/>
  <c r="J16" i="4" s="1"/>
  <c r="I17" i="4"/>
  <c r="J17" i="4" s="1"/>
  <c r="C8"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J6" i="4" l="1"/>
  <c r="Y6" i="4" s="1"/>
  <c r="E18" i="4"/>
  <c r="K15" i="4"/>
  <c r="L15" i="4" s="1"/>
  <c r="X15" i="4" s="1"/>
  <c r="K9" i="4"/>
  <c r="L9" i="4" s="1"/>
  <c r="X9" i="4" s="1"/>
  <c r="K14" i="4"/>
  <c r="L14" i="4" s="1"/>
  <c r="X14" i="4" s="1"/>
  <c r="K8" i="4"/>
  <c r="L8" i="4" s="1"/>
  <c r="X8" i="4" s="1"/>
  <c r="K17" i="4"/>
  <c r="L17" i="4" s="1"/>
  <c r="X17" i="4" s="1"/>
  <c r="K13" i="4"/>
  <c r="L13" i="4" s="1"/>
  <c r="X13" i="4" s="1"/>
  <c r="K7" i="4"/>
  <c r="K16" i="4"/>
  <c r="L16" i="4" s="1"/>
  <c r="X16" i="4" s="1"/>
  <c r="K12" i="4"/>
  <c r="L12" i="4" s="1"/>
  <c r="X12" i="4" s="1"/>
  <c r="K6" i="4"/>
  <c r="Q13" i="4" l="1"/>
  <c r="L7" i="4"/>
  <c r="Q6" i="4"/>
  <c r="K18" i="4"/>
  <c r="L6" i="4"/>
  <c r="U6" i="4"/>
  <c r="Q8" i="4"/>
  <c r="Q9" i="4"/>
  <c r="Q16" i="4"/>
  <c r="Q12" i="4"/>
  <c r="Q15" i="4"/>
  <c r="Q7" i="4"/>
  <c r="Q17" i="4"/>
  <c r="Q14" i="4"/>
  <c r="X6" i="4" l="1"/>
  <c r="L18" i="4"/>
  <c r="Q18" i="4"/>
  <c r="B12" i="10" s="1"/>
  <c r="W7" i="4" l="1"/>
  <c r="V7" i="4"/>
  <c r="V18" i="4" s="1"/>
  <c r="H8" i="10" s="1"/>
  <c r="T18" i="4"/>
  <c r="D12" i="10" s="1"/>
  <c r="Y7" i="4"/>
  <c r="U7" i="4"/>
  <c r="U18" i="4" s="1"/>
  <c r="F8" i="10" s="1"/>
  <c r="D8" i="10"/>
  <c r="Y18" i="4" l="1"/>
  <c r="D22" i="10" s="1"/>
  <c r="D18" i="10"/>
  <c r="F18" i="10"/>
  <c r="W18" i="4"/>
  <c r="X7" i="4"/>
  <c r="AB7" i="10"/>
  <c r="AB6" i="10"/>
  <c r="AB8" i="10" s="1"/>
  <c r="F12" i="10" l="1"/>
  <c r="X18" i="4"/>
  <c r="H12" i="10" s="1"/>
  <c r="AB9" i="10"/>
</calcChain>
</file>

<file path=xl/sharedStrings.xml><?xml version="1.0" encoding="utf-8"?>
<sst xmlns="http://schemas.openxmlformats.org/spreadsheetml/2006/main" count="132" uniqueCount="97">
  <si>
    <t>Annual Operation
[hrs/y]</t>
  </si>
  <si>
    <t>Select</t>
  </si>
  <si>
    <t>#</t>
  </si>
  <si>
    <t>Inlet velocity</t>
  </si>
  <si>
    <t>Outlet Velocity</t>
  </si>
  <si>
    <t>Inlet velocity head</t>
  </si>
  <si>
    <t>outlet velocity head</t>
  </si>
  <si>
    <t>m/s</t>
  </si>
  <si>
    <t>m of head</t>
  </si>
  <si>
    <t>%</t>
  </si>
  <si>
    <t>EFFICIENCY</t>
  </si>
  <si>
    <t>System is runnning well. Continuously monitor energy performance</t>
  </si>
  <si>
    <t>MPKR/y</t>
  </si>
  <si>
    <t>Specific Energy Consumption</t>
  </si>
  <si>
    <r>
      <rPr>
        <b/>
        <sz val="11"/>
        <color theme="1"/>
        <rFont val="Calibri"/>
        <family val="2"/>
        <scheme val="minor"/>
      </rPr>
      <t xml:space="preserve">Introduction:
</t>
    </r>
    <r>
      <rPr>
        <sz val="11"/>
        <color theme="1"/>
        <rFont val="Calibri"/>
        <family val="2"/>
        <scheme val="minor"/>
      </rPr>
      <t>The Punjab Energy Efficiency and Conservation Authority (PEECA) of the Governnment of Punjab, Pakistan is working rigurously to improve energy efficiency and promote a culture of Energy Conservation in the province. To aide the efforts, PEECA has developed excel based self-assessment tools to calculate energy efficiency and enerrgy saving potentials in different industrial and commercial utilities.</t>
    </r>
  </si>
  <si>
    <r>
      <rPr>
        <b/>
        <sz val="11"/>
        <color theme="1"/>
        <rFont val="Calibri"/>
        <family val="2"/>
        <scheme val="minor"/>
      </rPr>
      <t>Contact:</t>
    </r>
    <r>
      <rPr>
        <sz val="11"/>
        <color theme="1"/>
        <rFont val="Calibri"/>
        <family val="2"/>
        <scheme val="minor"/>
      </rPr>
      <t xml:space="preserve">
Users may contact following for any clarification, suggestion and/or improvement in this tool;</t>
    </r>
  </si>
  <si>
    <r>
      <rPr>
        <b/>
        <sz val="11"/>
        <color theme="1"/>
        <rFont val="Calibri"/>
        <family val="2"/>
        <scheme val="minor"/>
      </rPr>
      <t xml:space="preserve">Developer
</t>
    </r>
    <r>
      <rPr>
        <sz val="11"/>
        <color theme="1"/>
        <rFont val="Calibri"/>
        <family val="2"/>
        <scheme val="minor"/>
      </rPr>
      <t xml:space="preserve">M. Salman Butt
ESPIRE Consult
+92 305 555 2343
</t>
    </r>
    <r>
      <rPr>
        <u/>
        <sz val="11"/>
        <color theme="3"/>
        <rFont val="Calibri"/>
        <family val="2"/>
        <scheme val="minor"/>
      </rPr>
      <t xml:space="preserve">salman@espire.com.pk
</t>
    </r>
    <r>
      <rPr>
        <sz val="11"/>
        <color theme="1"/>
        <rFont val="Calibri"/>
        <family val="2"/>
        <scheme val="minor"/>
      </rPr>
      <t>198 A-1, M. A. Jauhar Town, Lahore, Pakistan</t>
    </r>
  </si>
  <si>
    <t>Boiler Energy Efficiency Self-Assessment Tool</t>
  </si>
  <si>
    <t>Boiler Data Sheet</t>
  </si>
  <si>
    <t>Boiler Code
[Identity]</t>
  </si>
  <si>
    <r>
      <t>Rated Boiler Capacity
[kWh</t>
    </r>
    <r>
      <rPr>
        <sz val="8"/>
        <color theme="1"/>
        <rFont val="Calibri"/>
        <family val="2"/>
        <scheme val="minor"/>
      </rPr>
      <t>th</t>
    </r>
    <r>
      <rPr>
        <sz val="11"/>
        <color theme="1"/>
        <rFont val="Calibri"/>
        <family val="2"/>
        <scheme val="minor"/>
      </rPr>
      <t>]</t>
    </r>
  </si>
  <si>
    <t>Water Enthalpy Table</t>
  </si>
  <si>
    <t>Temperature</t>
  </si>
  <si>
    <t>Pressure</t>
  </si>
  <si>
    <t>Specific enthalpy of liquid water *</t>
  </si>
  <si>
    <t>°C</t>
  </si>
  <si>
    <t>°K</t>
  </si>
  <si>
    <t>Bar</t>
  </si>
  <si>
    <t>kj/kg</t>
  </si>
  <si>
    <t>Saturated Steam Enthalpy Table</t>
  </si>
  <si>
    <t>Specific enthalpy of Saturated Steam as function of Pressure *</t>
  </si>
  <si>
    <t>psi</t>
  </si>
  <si>
    <t>Steam Pressure
[bar]</t>
  </si>
  <si>
    <r>
      <t>Steam Temperature
[</t>
    </r>
    <r>
      <rPr>
        <sz val="11"/>
        <color theme="1"/>
        <rFont val="Calibri"/>
        <family val="2"/>
      </rPr>
      <t>⁰C]</t>
    </r>
  </si>
  <si>
    <t>Specific Enthalpy of Steam
[kJ/kg]</t>
  </si>
  <si>
    <t>Average Steam Production from Steam Flow Meter
[Ton/h]</t>
  </si>
  <si>
    <t>Calculated Steam Production
[Ton/h]</t>
  </si>
  <si>
    <r>
      <t>Boiler Heating Surface Area
[m</t>
    </r>
    <r>
      <rPr>
        <sz val="11"/>
        <color theme="1"/>
        <rFont val="Calibri"/>
        <family val="2"/>
      </rPr>
      <t>²]</t>
    </r>
  </si>
  <si>
    <t>Specific Fuel Consumption
[mmbtu/Ton]</t>
  </si>
  <si>
    <r>
      <t>Feed Water Temperature
[</t>
    </r>
    <r>
      <rPr>
        <sz val="11"/>
        <color theme="1"/>
        <rFont val="Calibri"/>
        <family val="2"/>
      </rPr>
      <t>⁰C]</t>
    </r>
  </si>
  <si>
    <t>Enthalpy of Feed Water
[kJ/kg]</t>
  </si>
  <si>
    <t>Hourly Fuel Consumption
[mmbtu/h]</t>
  </si>
  <si>
    <t>Steam Fuel Cost
[PKR/Ton]</t>
  </si>
  <si>
    <t>Fuel</t>
  </si>
  <si>
    <t>Natural Gas</t>
  </si>
  <si>
    <t>HFO</t>
  </si>
  <si>
    <t>Coal</t>
  </si>
  <si>
    <t>Diesel</t>
  </si>
  <si>
    <t>LPG</t>
  </si>
  <si>
    <t>Bio Mass</t>
  </si>
  <si>
    <t>GCV Unit</t>
  </si>
  <si>
    <t>Boiler Fuel</t>
  </si>
  <si>
    <t>[kJ/kg]</t>
  </si>
  <si>
    <t>Fuel Price [PKR/ mmbtu]</t>
  </si>
  <si>
    <r>
      <t>[btu/ft</t>
    </r>
    <r>
      <rPr>
        <sz val="11"/>
        <color theme="1"/>
        <rFont val="Calibri"/>
        <family val="2"/>
      </rPr>
      <t>ᶟ]</t>
    </r>
  </si>
  <si>
    <t>Net Boiler Efficiency
[%]</t>
  </si>
  <si>
    <t>Total Energy Cost
[MPKR/y]</t>
  </si>
  <si>
    <t>Calculated Steam Production
[Ton/y]</t>
  </si>
  <si>
    <t>Enthalpy of Feed Water
[mmBtu/Ton]</t>
  </si>
  <si>
    <t>Net Energy Required
[mmBtu/y]</t>
  </si>
  <si>
    <t>* Enthalpy is calculated using Excel add-in for Steam and Water Tables "Water97_v13.xla"  by Bernhard Spang</t>
  </si>
  <si>
    <t>Boiler Efficiency Dashboard</t>
  </si>
  <si>
    <t>Steam Production</t>
  </si>
  <si>
    <t>Total Steam Production</t>
  </si>
  <si>
    <t>Ton/y</t>
  </si>
  <si>
    <t>Net Energy Requirement</t>
  </si>
  <si>
    <t>mmBtu/y</t>
  </si>
  <si>
    <t>Annual Energy Input</t>
  </si>
  <si>
    <t>No. of Boilers</t>
  </si>
  <si>
    <t>Specific Fuel Consumption</t>
  </si>
  <si>
    <t>mmBtu/Ton</t>
  </si>
  <si>
    <t>Hourly Fuel Consumption</t>
  </si>
  <si>
    <t>mmBtu/h</t>
  </si>
  <si>
    <t>Total Energy Cost</t>
  </si>
  <si>
    <t>PKR/Ton</t>
  </si>
  <si>
    <t>Annual Fuel Consumption
[mmbtu/y]</t>
  </si>
  <si>
    <t>Specific Enthalpy of Steam
[mmBtu/Ton]</t>
  </si>
  <si>
    <t>Steam Cost (Fuel only)</t>
  </si>
  <si>
    <t>Efficiency Calculations</t>
  </si>
  <si>
    <t>Max. Net Efficiency</t>
  </si>
  <si>
    <t>Min. Net Efficiency</t>
  </si>
  <si>
    <t>Overall Efficiency of Steam Boilers</t>
  </si>
  <si>
    <t>OPTIMIZATION GUIDELINES</t>
  </si>
  <si>
    <t>Pre-Heat Air and/or Feed Water, Conduct Boiler Maintenance</t>
  </si>
  <si>
    <t>Consult Expert; Boiler is Over Designed or Needs Replacement</t>
  </si>
  <si>
    <t>Automate Boiler Controls, Improve Fuel Properties</t>
  </si>
  <si>
    <t>Adjust Air:Fuel ratio, Check Insulations, Inspect Steam Traps and PRVs</t>
  </si>
  <si>
    <t>Steam &amp; Water Tables</t>
  </si>
  <si>
    <r>
      <rPr>
        <b/>
        <sz val="11"/>
        <color theme="1"/>
        <rFont val="Calibri"/>
        <family val="2"/>
        <scheme val="minor"/>
      </rPr>
      <t>About this tool:</t>
    </r>
    <r>
      <rPr>
        <sz val="11"/>
        <color theme="1"/>
        <rFont val="Calibri"/>
        <family val="2"/>
        <scheme val="minor"/>
      </rPr>
      <t xml:space="preserve">
This tool calculates Required and Actual Energy for steam production, Specific Fuel Consumption, Steam Cost and Overall Efficiency of Boilers.</t>
    </r>
  </si>
  <si>
    <t>Boiler_001_ABC</t>
  </si>
  <si>
    <r>
      <rPr>
        <b/>
        <sz val="11"/>
        <color theme="1"/>
        <rFont val="Calibri"/>
        <family val="2"/>
        <scheme val="minor"/>
      </rPr>
      <t>How to Use?</t>
    </r>
    <r>
      <rPr>
        <sz val="11"/>
        <color theme="1"/>
        <rFont val="Calibri"/>
        <family val="2"/>
        <scheme val="minor"/>
      </rPr>
      <t xml:space="preserve">
- Enter data in the "Data Input" sheet. Please refer to "Example Data" sheet for guidance to fill the data.
- Blue tab sheets show results of calculations.
- Purple tab sheets show reference data used for calculations
- All Red labelled fields with white colored cells are data entry fields
- All blue labelled fields with Grey colored cells are Calculation and Output Fields.
- Please do not try to temper with any calculation cells as this will alter the results. Please contact PEECA or the developers for any alteration or change requests.</t>
    </r>
  </si>
  <si>
    <r>
      <rPr>
        <b/>
        <sz val="11"/>
        <color theme="1"/>
        <rFont val="Calibri"/>
        <family val="2"/>
        <scheme val="minor"/>
      </rPr>
      <t>Version Information:</t>
    </r>
    <r>
      <rPr>
        <sz val="11"/>
        <color theme="1"/>
        <rFont val="Calibri"/>
        <family val="2"/>
        <scheme val="minor"/>
      </rPr>
      <t xml:space="preserve">
Version No. V01_170304
Previous Version: N/A</t>
    </r>
  </si>
  <si>
    <r>
      <rPr>
        <b/>
        <sz val="11"/>
        <color theme="1"/>
        <rFont val="Calibri"/>
        <family val="2"/>
        <scheme val="minor"/>
      </rPr>
      <t xml:space="preserve">Disclaimer:
</t>
    </r>
    <r>
      <rPr>
        <sz val="11"/>
        <color theme="1"/>
        <rFont val="Calibri"/>
        <family val="2"/>
        <scheme val="minor"/>
      </rPr>
      <t>The information, calculations and conclusions in this tool are based on the sources as mentioned above. The tool has been field tested, however, qualified engineers must be consulted before makinng any decision based on these calculations. PEECA, Government of Punjab or the Developers accept no liability whatsoever to any person, company or entity for any injury, loss or damage that may arise in connection with any misuse or reliance on the information.
The tool is provided as a freeware. Users may make copies and distribute the tool without making any changes.</t>
    </r>
  </si>
  <si>
    <r>
      <rPr>
        <b/>
        <sz val="11"/>
        <color theme="1"/>
        <rFont val="Calibri"/>
        <family val="2"/>
        <scheme val="minor"/>
      </rPr>
      <t>References:</t>
    </r>
    <r>
      <rPr>
        <sz val="11"/>
        <color theme="1"/>
        <rFont val="Calibri"/>
        <family val="2"/>
        <scheme val="minor"/>
      </rPr>
      <t xml:space="preserve">
- Spirax Sarco Limited; http://www.spiraxsarco.com/pages/home.aspx   
- Improving Steam Boiler Operating Efficiency , by Enercon.gov.pk   
- Energy Technology Handbook, McGraw Hill, 9-46   
- Saturated Steam Table by Pressure; http://www.tlv.com/global/TI/calculator/steam-table-pressure.html   
- https://www.engineersedge.com/thermodynamics/steam_tables.htm   
- Properties of Saturated Steam; http://www.engineeringtoolbox.com/saturated-steam-properties-d_457.html   
- Water Thermal Properties; http://www.engineeringtoolbox.com/water-thermal-properties-d_162.html   
- www.enggcyclopedia.com/2011/09/sample-problem-insulation-thickness-calculation-pipe/   
- www.engineeringtoolbox.com/fiberglas-insulation-k-values-d_1172.html   
- www.engineeringtoolbox.com/mineral-wool-insulation-k-values-d_815.html   
- "INSULATION AND REFRACTORIES"  by Bureau of Energy Efficiency India page 122-128, pdhonline.org/cources/m157/m157 content.pdf   
- http://www.infrared-thermography.com/material.htm   
- Estimating of cost steam lost through orifices(By Henry Manczyk, CPE, CEM); www.swagelokenergy.com/download/ECSLTOST.pdf  
- Bureau of energy efficiency India 
- Enorcon Pakistan 
- APO Japan
- Excel add-in for Steam and Water Tables "Water97_v13.xla"  by Bernhard Spang</t>
    </r>
  </si>
  <si>
    <r>
      <rPr>
        <b/>
        <sz val="11"/>
        <color theme="1"/>
        <rFont val="Calibri"/>
        <family val="2"/>
        <scheme val="minor"/>
      </rPr>
      <t>Managing Director</t>
    </r>
    <r>
      <rPr>
        <sz val="11"/>
        <color theme="1"/>
        <rFont val="Calibri"/>
        <family val="2"/>
        <scheme val="minor"/>
      </rPr>
      <t xml:space="preserve">
Punjab Energy Efficiency and Conservation Agency (PEECA)
Energy Department, Government of the Punjab
</t>
    </r>
    <r>
      <rPr>
        <u/>
        <sz val="11"/>
        <color theme="3"/>
        <rFont val="Calibri"/>
        <family val="2"/>
        <scheme val="minor"/>
      </rPr>
      <t>md.peeca@energy.punjab.gov.pk</t>
    </r>
    <r>
      <rPr>
        <sz val="11"/>
        <color theme="1"/>
        <rFont val="Calibri"/>
        <family val="2"/>
        <scheme val="minor"/>
      </rPr>
      <t xml:space="preserve">
48-A, Block C-II, Ghalib Road, Gulberg-III, Lahore
Pakistan</t>
    </r>
  </si>
  <si>
    <t>Boiler_002_ABC</t>
  </si>
  <si>
    <t>Example Boiler Data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</si>
</sst>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quot;$&quot;#,##0_);[Red]\(&quot;$&quot;#,##0\)"/>
    <numFmt numFmtId="165" formatCode="_(&quot;$&quot;* #,##0.00_);_(&quot;$&quot;* \(#,##0.00\);_(&quot;$&quot;* &quot;-&quot;??_);_(@_)"/>
    <numFmt numFmtId="166" formatCode="_(* #,##0.00_);_(* \(#,##0.00\);_(* &quot;-&quot;??_);_(@_)"/>
    <numFmt numFmtId="167" formatCode="#,##0&quot; therms&quot;"/>
    <numFmt numFmtId="168" formatCode="#,##0&quot; kBtuh&quot;"/>
    <numFmt numFmtId="169" formatCode="#,##0&quot; kWh&quot;"/>
    <numFmt numFmtId="170" formatCode="#,##0&quot;W   &quot;"/>
    <numFmt numFmtId="171" formatCode="&quot;Equipment &quot;0.0&quot; W/sqft Typical&quot;"/>
    <numFmt numFmtId="172" formatCode="0.0000000000"/>
    <numFmt numFmtId="173" formatCode="0.00_)"/>
    <numFmt numFmtId="174" formatCode="#,##0\V"/>
    <numFmt numFmtId="175" formatCode="#,##0&quot; rpm&quot;"/>
    <numFmt numFmtId="176" formatCode="0&quot; gal&quot;"/>
    <numFmt numFmtId="177" formatCode="&quot;$&quot;#,##0_)&quot;   &quot;;\(&quot;$&quot;#,##0\)&quot;   &quot;"/>
    <numFmt numFmtId="178" formatCode="#,##0&quot; tons&quot;"/>
    <numFmt numFmtId="179" formatCode="#,##0&quot; kW&quot;"/>
    <numFmt numFmtId="180" formatCode="General&quot; hp&quot;"/>
    <numFmt numFmtId="181" formatCode="#,##0.00&quot; $&quot;;\-#,##0.00&quot; $&quot;"/>
    <numFmt numFmtId="182" formatCode="_-* #,##0.0_-;\-* #,##0.0_-;_-* &quot;-&quot;??_-;_-@_-"/>
    <numFmt numFmtId="183" formatCode="_(* #,##0.0_);_(* \-#,##0.0_);_(* &quot;-&quot;??_);_(@_)"/>
    <numFmt numFmtId="184" formatCode="0.0%"/>
    <numFmt numFmtId="185" formatCode="_-* #,##0.00\ _€_-;\-* #,##0.00\ _€_-;_-* &quot;-&quot;??\ _€_-;_-@_-"/>
    <numFmt numFmtId="186" formatCode="_-* #,##0\ _€_-;\-* #,##0\ _€_-;_-* &quot;-&quot;??\ _€_-;_-@_-"/>
  </numFmts>
  <fonts count="29">
    <font>
      <sz val="11"/>
      <color theme="1"/>
      <name val="Calibri"/>
      <family val="2"/>
      <scheme val="minor"/>
    </font>
    <font>
      <sz val="11"/>
      <color theme="1"/>
      <name val="Calibri"/>
      <family val="2"/>
      <scheme val="minor"/>
    </font>
    <font>
      <sz val="10"/>
      <name val="Helv"/>
    </font>
    <font>
      <sz val="10"/>
      <name val="Arial"/>
      <family val="2"/>
    </font>
    <font>
      <sz val="10"/>
      <color indexed="12"/>
      <name val="Arial"/>
      <family val="2"/>
    </font>
    <font>
      <sz val="8"/>
      <name val="Arial"/>
      <family val="2"/>
    </font>
    <font>
      <b/>
      <i/>
      <sz val="12"/>
      <name val="Arial"/>
      <family val="2"/>
    </font>
    <font>
      <sz val="10"/>
      <name val="Geneva"/>
      <family val="2"/>
    </font>
    <font>
      <sz val="11"/>
      <name val="??"/>
      <family val="3"/>
      <charset val="129"/>
    </font>
    <font>
      <b/>
      <u/>
      <sz val="11"/>
      <color indexed="37"/>
      <name val="Arial"/>
      <family val="2"/>
    </font>
    <font>
      <sz val="7"/>
      <name val="Small Fonts"/>
      <family val="2"/>
    </font>
    <font>
      <b/>
      <i/>
      <sz val="16"/>
      <name val="Helv"/>
    </font>
    <font>
      <sz val="8"/>
      <color indexed="12"/>
      <name val="Arial"/>
      <family val="2"/>
    </font>
    <font>
      <sz val="10"/>
      <color theme="1"/>
      <name val="Arial"/>
      <family val="2"/>
    </font>
    <font>
      <b/>
      <sz val="11"/>
      <color theme="0"/>
      <name val="Calibri"/>
      <family val="2"/>
      <scheme val="minor"/>
    </font>
    <font>
      <sz val="11"/>
      <color theme="1"/>
      <name val="Calibri"/>
      <family val="2"/>
    </font>
    <font>
      <b/>
      <sz val="14"/>
      <color theme="1"/>
      <name val="Calibri"/>
      <family val="2"/>
      <scheme val="minor"/>
    </font>
    <font>
      <b/>
      <sz val="11"/>
      <color theme="1" tint="0.249977111117893"/>
      <name val="Verdana"/>
      <family val="2"/>
    </font>
    <font>
      <b/>
      <sz val="11"/>
      <color theme="1"/>
      <name val="Calibri"/>
      <family val="2"/>
      <scheme val="minor"/>
    </font>
    <font>
      <b/>
      <sz val="16"/>
      <color theme="0"/>
      <name val="Calibri"/>
      <family val="2"/>
      <scheme val="minor"/>
    </font>
    <font>
      <u/>
      <sz val="11"/>
      <color theme="3"/>
      <name val="Calibri"/>
      <family val="2"/>
      <scheme val="minor"/>
    </font>
    <font>
      <sz val="8"/>
      <color theme="1"/>
      <name val="Calibri"/>
      <family val="2"/>
      <scheme val="minor"/>
    </font>
    <font>
      <b/>
      <sz val="8"/>
      <color theme="0" tint="-0.14999847407452621"/>
      <name val="Arial"/>
      <family val="2"/>
    </font>
    <font>
      <b/>
      <sz val="11"/>
      <color theme="0" tint="-0.14999847407452621"/>
      <name val="Arial"/>
      <family val="2"/>
    </font>
    <font>
      <b/>
      <sz val="8"/>
      <name val="Arial"/>
      <family val="2"/>
    </font>
    <font>
      <b/>
      <sz val="12"/>
      <color theme="1"/>
      <name val="Calibri"/>
      <family val="2"/>
      <scheme val="minor"/>
    </font>
    <font>
      <b/>
      <sz val="9"/>
      <color theme="1" tint="0.249977111117893"/>
      <name val="Arial"/>
      <family val="2"/>
    </font>
    <font>
      <sz val="9"/>
      <name val="Arial"/>
      <family val="2"/>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rgb="FFC7C8C9"/>
        <bgColor indexed="64"/>
      </patternFill>
    </fill>
    <fill>
      <patternFill patternType="solid">
        <fgColor theme="4" tint="-0.249977111117893"/>
        <bgColor indexed="64"/>
      </patternFill>
    </fill>
    <fill>
      <patternFill patternType="solid">
        <fgColor theme="0"/>
        <bgColor indexed="64"/>
      </patternFill>
    </fill>
    <fill>
      <patternFill patternType="solid">
        <fgColor theme="5"/>
        <bgColor indexed="64"/>
      </patternFill>
    </fill>
    <fill>
      <patternFill patternType="solid">
        <fgColor rgb="FF464749"/>
        <bgColor indexed="64"/>
      </patternFill>
    </fill>
    <fill>
      <patternFill patternType="solid">
        <fgColor rgb="FFFFFFFF"/>
        <bgColor indexed="64"/>
      </patternFill>
    </fill>
    <fill>
      <patternFill patternType="solid">
        <fgColor theme="7" tint="-0.249977111117893"/>
        <bgColor indexed="64"/>
      </patternFill>
    </fill>
    <fill>
      <patternFill patternType="solid">
        <fgColor rgb="FF90CB7E"/>
        <bgColor rgb="FF000000"/>
      </patternFill>
    </fill>
    <fill>
      <patternFill patternType="solid">
        <fgColor rgb="FFBDD881"/>
        <bgColor rgb="FF000000"/>
      </patternFill>
    </fill>
    <fill>
      <patternFill patternType="solid">
        <fgColor rgb="FFFFEB84"/>
        <bgColor rgb="FF000000"/>
      </patternFill>
    </fill>
    <fill>
      <patternFill patternType="solid">
        <fgColor rgb="FFFA9D75"/>
        <bgColor rgb="FF000000"/>
      </patternFill>
    </fill>
    <fill>
      <patternFill patternType="solid">
        <fgColor rgb="FFF8696B"/>
        <bgColor rgb="FF000000"/>
      </patternFill>
    </fill>
  </fills>
  <borders count="16">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3"/>
      </left>
      <right style="thin">
        <color theme="3"/>
      </right>
      <top style="thin">
        <color theme="3"/>
      </top>
      <bottom style="thin">
        <color theme="3"/>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s>
  <cellStyleXfs count="42">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172" fontId="7" fillId="4" borderId="4">
      <alignment horizontal="center" vertical="center"/>
    </xf>
    <xf numFmtId="17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4" fontId="8" fillId="0" borderId="0">
      <protection locked="0"/>
    </xf>
    <xf numFmtId="183" fontId="3" fillId="0" borderId="2" applyBorder="0" applyAlignment="0">
      <alignment vertical="center"/>
    </xf>
    <xf numFmtId="171" fontId="3" fillId="0" borderId="0" applyFont="0" applyFill="0" applyBorder="0" applyAlignment="0" applyProtection="0">
      <alignment horizontal="left"/>
    </xf>
    <xf numFmtId="182" fontId="3" fillId="0" borderId="0">
      <protection locked="0"/>
    </xf>
    <xf numFmtId="176" fontId="3" fillId="0" borderId="0" applyFont="0" applyFill="0" applyBorder="0" applyAlignment="0" applyProtection="0">
      <alignment horizontal="right"/>
    </xf>
    <xf numFmtId="38" fontId="5" fillId="2" borderId="0" applyNumberFormat="0" applyBorder="0" applyAlignment="0" applyProtection="0"/>
    <xf numFmtId="0" fontId="9" fillId="0" borderId="0" applyNumberFormat="0" applyFill="0" applyBorder="0" applyAlignment="0" applyProtection="0"/>
    <xf numFmtId="181" fontId="3" fillId="0" borderId="0">
      <protection locked="0"/>
    </xf>
    <xf numFmtId="181" fontId="3" fillId="0" borderId="0">
      <protection locked="0"/>
    </xf>
    <xf numFmtId="0" fontId="4" fillId="0" borderId="1" applyNumberFormat="0" applyFill="0" applyAlignment="0" applyProtection="0"/>
    <xf numFmtId="180" fontId="3" fillId="0" borderId="5">
      <alignment horizontal="center"/>
    </xf>
    <xf numFmtId="10" fontId="5" fillId="3" borderId="3" applyNumberFormat="0" applyBorder="0" applyAlignment="0" applyProtection="0"/>
    <xf numFmtId="168" fontId="3" fillId="0" borderId="0" applyFont="0" applyFill="0" applyBorder="0" applyAlignment="0" applyProtection="0">
      <alignment horizontal="right"/>
    </xf>
    <xf numFmtId="179" fontId="6" fillId="0" borderId="0" applyFont="0" applyFill="0" applyBorder="0" applyAlignment="0" applyProtection="0">
      <alignment horizontal="right"/>
    </xf>
    <xf numFmtId="169" fontId="3" fillId="0" borderId="0" applyFont="0" applyFill="0" applyBorder="0" applyAlignment="0" applyProtection="0">
      <alignment horizontal="right"/>
    </xf>
    <xf numFmtId="37" fontId="10" fillId="0" borderId="0"/>
    <xf numFmtId="173" fontId="11" fillId="0" borderId="0"/>
    <xf numFmtId="9" fontId="3" fillId="0" borderId="0" applyFont="0" applyFill="0" applyBorder="0" applyAlignment="0" applyProtection="0"/>
    <xf numFmtId="10" fontId="3" fillId="0" borderId="0" applyFont="0" applyFill="0" applyBorder="0" applyAlignment="0" applyProtection="0"/>
    <xf numFmtId="175" fontId="3" fillId="0" borderId="0" applyFont="0" applyFill="0" applyBorder="0" applyAlignment="0" applyProtection="0">
      <alignment horizontal="right"/>
    </xf>
    <xf numFmtId="167" fontId="6" fillId="0" borderId="0" applyFont="0" applyBorder="0" applyAlignment="0">
      <alignment horizontal="center"/>
    </xf>
    <xf numFmtId="178" fontId="3" fillId="0" borderId="0" applyFont="0" applyFill="0" applyBorder="0" applyAlignment="0" applyProtection="0">
      <alignment horizontal="right"/>
    </xf>
    <xf numFmtId="181" fontId="3" fillId="0" borderId="6">
      <protection locked="0"/>
    </xf>
    <xf numFmtId="37" fontId="5" fillId="5" borderId="0" applyNumberFormat="0" applyBorder="0" applyAlignment="0" applyProtection="0"/>
    <xf numFmtId="37" fontId="5" fillId="0" borderId="0"/>
    <xf numFmtId="3" fontId="12" fillId="0" borderId="1" applyProtection="0"/>
    <xf numFmtId="174" fontId="3" fillId="0" borderId="0" applyFont="0" applyFill="0" applyBorder="0" applyAlignment="0" applyProtection="0">
      <alignment horizontal="right"/>
    </xf>
    <xf numFmtId="170" fontId="3" fillId="0" borderId="0" applyFont="0" applyFill="0" applyBorder="0" applyAlignment="0" applyProtection="0">
      <alignment horizontal="right"/>
    </xf>
    <xf numFmtId="0" fontId="3"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xf numFmtId="185" fontId="1" fillId="0" borderId="0" applyFont="0" applyFill="0" applyBorder="0" applyAlignment="0" applyProtection="0"/>
  </cellStyleXfs>
  <cellXfs count="116">
    <xf numFmtId="0" fontId="0" fillId="0" borderId="0" xfId="0"/>
    <xf numFmtId="0" fontId="0" fillId="0" borderId="0" xfId="0"/>
    <xf numFmtId="0" fontId="0" fillId="8" borderId="0" xfId="0" applyFill="1"/>
    <xf numFmtId="0" fontId="0" fillId="8" borderId="0" xfId="0" applyFill="1" applyBorder="1"/>
    <xf numFmtId="0" fontId="14" fillId="8" borderId="0" xfId="0" applyFont="1" applyFill="1" applyBorder="1" applyAlignment="1">
      <alignment wrapText="1"/>
    </xf>
    <xf numFmtId="0" fontId="0" fillId="8" borderId="0" xfId="0" applyFont="1" applyFill="1" applyBorder="1"/>
    <xf numFmtId="0" fontId="19" fillId="8" borderId="0" xfId="0" applyFont="1" applyFill="1" applyBorder="1" applyAlignment="1"/>
    <xf numFmtId="0" fontId="24" fillId="11"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2" fontId="5" fillId="11" borderId="3" xfId="0" applyNumberFormat="1" applyFont="1" applyFill="1" applyBorder="1" applyAlignment="1">
      <alignment horizontal="center" vertical="center" wrapText="1"/>
    </xf>
    <xf numFmtId="0" fontId="24" fillId="11" borderId="7" xfId="0" applyFont="1" applyFill="1" applyBorder="1" applyAlignment="1">
      <alignment horizontal="center" vertical="center" wrapText="1"/>
    </xf>
    <xf numFmtId="0" fontId="5" fillId="11" borderId="7" xfId="0" applyFont="1" applyFill="1" applyBorder="1" applyAlignment="1">
      <alignment horizontal="center" vertical="center" wrapText="1"/>
    </xf>
    <xf numFmtId="2" fontId="5" fillId="11" borderId="7" xfId="0" applyNumberFormat="1" applyFont="1" applyFill="1" applyBorder="1" applyAlignment="1">
      <alignment horizontal="center" vertical="center" wrapText="1"/>
    </xf>
    <xf numFmtId="1" fontId="5" fillId="11" borderId="3" xfId="0" applyNumberFormat="1" applyFont="1" applyFill="1" applyBorder="1" applyAlignment="1">
      <alignment horizontal="center" vertical="center" wrapText="1"/>
    </xf>
    <xf numFmtId="1" fontId="5" fillId="11" borderId="7" xfId="0" applyNumberFormat="1" applyFont="1" applyFill="1" applyBorder="1" applyAlignment="1">
      <alignment horizontal="center" vertical="center" wrapText="1"/>
    </xf>
    <xf numFmtId="0" fontId="22" fillId="12" borderId="0" xfId="0" applyFont="1" applyFill="1" applyAlignment="1">
      <alignment horizontal="center" vertical="center" wrapText="1"/>
    </xf>
    <xf numFmtId="0" fontId="0" fillId="8" borderId="0" xfId="0" applyFill="1" applyProtection="1"/>
    <xf numFmtId="0" fontId="0" fillId="8" borderId="0" xfId="0" applyFill="1" applyBorder="1" applyProtection="1"/>
    <xf numFmtId="0" fontId="0" fillId="6" borderId="8" xfId="0" applyFill="1" applyBorder="1" applyProtection="1">
      <protection hidden="1"/>
    </xf>
    <xf numFmtId="166" fontId="0" fillId="6" borderId="9" xfId="0" applyNumberFormat="1" applyFill="1" applyBorder="1" applyProtection="1"/>
    <xf numFmtId="2" fontId="0" fillId="6" borderId="9" xfId="0" applyNumberFormat="1" applyFill="1" applyBorder="1" applyProtection="1"/>
    <xf numFmtId="0" fontId="0" fillId="6" borderId="8" xfId="0" applyNumberFormat="1" applyFill="1" applyBorder="1" applyProtection="1">
      <protection hidden="1"/>
    </xf>
    <xf numFmtId="0" fontId="0" fillId="6" borderId="9" xfId="0" applyFill="1" applyBorder="1" applyProtection="1"/>
    <xf numFmtId="0" fontId="0" fillId="8" borderId="0" xfId="0" applyFill="1" applyProtection="1">
      <protection hidden="1"/>
    </xf>
    <xf numFmtId="0" fontId="0" fillId="8" borderId="0" xfId="0" applyFill="1" applyBorder="1" applyProtection="1">
      <protection hidden="1"/>
    </xf>
    <xf numFmtId="0" fontId="0" fillId="0" borderId="0" xfId="0" applyBorder="1" applyProtection="1">
      <protection hidden="1"/>
    </xf>
    <xf numFmtId="0" fontId="0" fillId="0" borderId="0" xfId="0" applyBorder="1" applyAlignment="1">
      <alignment wrapText="1"/>
    </xf>
    <xf numFmtId="0" fontId="0" fillId="7" borderId="0" xfId="0" applyFill="1" applyBorder="1" applyAlignment="1">
      <alignment wrapText="1"/>
    </xf>
    <xf numFmtId="0" fontId="0" fillId="7" borderId="0" xfId="0" applyFill="1" applyBorder="1" applyAlignment="1" applyProtection="1">
      <alignment wrapText="1"/>
    </xf>
    <xf numFmtId="0" fontId="0" fillId="7" borderId="8" xfId="0" applyFill="1" applyBorder="1" applyAlignment="1">
      <alignment wrapText="1"/>
    </xf>
    <xf numFmtId="0" fontId="0" fillId="8" borderId="0" xfId="0" applyFont="1" applyFill="1" applyBorder="1" applyProtection="1">
      <protection locked="0"/>
    </xf>
    <xf numFmtId="0" fontId="0" fillId="8" borderId="0" xfId="0" applyFont="1" applyFill="1" applyBorder="1" applyAlignment="1">
      <alignment horizontal="left" wrapText="1"/>
    </xf>
    <xf numFmtId="2" fontId="16" fillId="8" borderId="0" xfId="0" applyNumberFormat="1" applyFont="1" applyFill="1" applyAlignment="1">
      <alignment horizontal="center" vertical="center"/>
    </xf>
    <xf numFmtId="0" fontId="16" fillId="8" borderId="0" xfId="0" applyFont="1" applyFill="1" applyAlignment="1">
      <alignment horizontal="center" vertical="center"/>
    </xf>
    <xf numFmtId="184" fontId="17" fillId="8" borderId="0" xfId="1" applyNumberFormat="1" applyFont="1" applyFill="1" applyBorder="1" applyAlignment="1" applyProtection="1">
      <alignment horizontal="center" vertical="center" wrapText="1"/>
    </xf>
    <xf numFmtId="0" fontId="14" fillId="8" borderId="0" xfId="0" applyFont="1" applyFill="1" applyBorder="1" applyAlignment="1">
      <alignment vertical="center"/>
    </xf>
    <xf numFmtId="0" fontId="14" fillId="8" borderId="0" xfId="0" applyFont="1" applyFill="1" applyBorder="1" applyAlignment="1">
      <alignment horizontal="center" vertical="center"/>
    </xf>
    <xf numFmtId="2" fontId="0" fillId="8" borderId="0" xfId="0" applyNumberFormat="1" applyFont="1" applyFill="1" applyBorder="1" applyAlignment="1">
      <alignment horizontal="center" vertical="center"/>
    </xf>
    <xf numFmtId="0" fontId="0" fillId="8" borderId="0" xfId="0" applyFont="1" applyFill="1" applyBorder="1" applyAlignment="1">
      <alignment horizontal="center" vertical="center"/>
    </xf>
    <xf numFmtId="0" fontId="14" fillId="7" borderId="10" xfId="0" applyFont="1" applyFill="1" applyBorder="1" applyAlignment="1">
      <alignment horizontal="center" vertical="center"/>
    </xf>
    <xf numFmtId="184" fontId="0" fillId="6" borderId="10" xfId="1" applyNumberFormat="1" applyFont="1" applyFill="1" applyBorder="1" applyAlignment="1">
      <alignment horizontal="center" vertical="center"/>
    </xf>
    <xf numFmtId="0" fontId="0" fillId="6" borderId="10" xfId="0" applyFont="1" applyFill="1" applyBorder="1" applyAlignment="1">
      <alignment horizontal="center" vertical="center"/>
    </xf>
    <xf numFmtId="0" fontId="0" fillId="7" borderId="11" xfId="0" applyFill="1" applyBorder="1" applyAlignment="1">
      <alignment horizontal="center" vertical="center"/>
    </xf>
    <xf numFmtId="1" fontId="0" fillId="6" borderId="12" xfId="0" applyNumberFormat="1" applyFill="1" applyBorder="1" applyAlignment="1">
      <alignment horizontal="center" vertical="center"/>
    </xf>
    <xf numFmtId="0" fontId="0" fillId="6" borderId="13" xfId="0" applyFill="1" applyBorder="1" applyAlignment="1">
      <alignment horizontal="center" vertical="center"/>
    </xf>
    <xf numFmtId="0" fontId="0" fillId="0" borderId="10" xfId="0" applyBorder="1"/>
    <xf numFmtId="2" fontId="0" fillId="6" borderId="12" xfId="0" applyNumberFormat="1" applyFill="1" applyBorder="1" applyAlignment="1">
      <alignment horizontal="center" vertical="center"/>
    </xf>
    <xf numFmtId="0" fontId="0" fillId="7" borderId="11" xfId="0" applyFill="1" applyBorder="1" applyAlignment="1">
      <alignment horizontal="center"/>
    </xf>
    <xf numFmtId="2" fontId="0" fillId="6" borderId="12" xfId="1" applyNumberFormat="1" applyFont="1" applyFill="1" applyBorder="1" applyAlignment="1">
      <alignment horizontal="center" vertical="center"/>
    </xf>
    <xf numFmtId="2" fontId="0" fillId="6" borderId="13" xfId="0" applyNumberFormat="1" applyFill="1" applyBorder="1" applyAlignment="1">
      <alignment horizontal="center" vertical="center"/>
    </xf>
    <xf numFmtId="0" fontId="15" fillId="7" borderId="11" xfId="0" applyFont="1" applyFill="1" applyBorder="1" applyAlignment="1">
      <alignment horizontal="center" vertical="center"/>
    </xf>
    <xf numFmtId="0" fontId="0" fillId="0" borderId="10" xfId="0" applyFont="1" applyBorder="1" applyAlignment="1" applyProtection="1">
      <alignment vertical="center"/>
    </xf>
    <xf numFmtId="186" fontId="26" fillId="8" borderId="10" xfId="41" applyNumberFormat="1" applyFont="1" applyFill="1" applyBorder="1" applyAlignment="1" applyProtection="1">
      <alignment horizontal="center" vertical="top" wrapText="1"/>
    </xf>
    <xf numFmtId="10" fontId="27" fillId="13" borderId="10" xfId="0" applyNumberFormat="1" applyFont="1" applyFill="1" applyBorder="1" applyAlignment="1" applyProtection="1">
      <alignment horizontal="center" vertical="center"/>
    </xf>
    <xf numFmtId="0" fontId="27" fillId="8" borderId="10" xfId="0" applyFont="1" applyFill="1" applyBorder="1" applyAlignment="1" applyProtection="1">
      <alignment vertical="center"/>
    </xf>
    <xf numFmtId="10" fontId="27" fillId="14" borderId="10" xfId="0" applyNumberFormat="1" applyFont="1" applyFill="1" applyBorder="1" applyAlignment="1" applyProtection="1">
      <alignment horizontal="center" vertical="center"/>
    </xf>
    <xf numFmtId="10" fontId="27" fillId="15" borderId="10" xfId="0" applyNumberFormat="1" applyFont="1" applyFill="1" applyBorder="1" applyAlignment="1" applyProtection="1">
      <alignment horizontal="center" vertical="center"/>
    </xf>
    <xf numFmtId="10" fontId="27" fillId="16" borderId="10" xfId="0" applyNumberFormat="1" applyFont="1" applyFill="1" applyBorder="1" applyAlignment="1" applyProtection="1">
      <alignment horizontal="center" vertical="center"/>
    </xf>
    <xf numFmtId="10" fontId="27" fillId="17" borderId="10" xfId="0" applyNumberFormat="1" applyFont="1" applyFill="1" applyBorder="1" applyAlignment="1" applyProtection="1">
      <alignment horizontal="center" vertical="center"/>
    </xf>
    <xf numFmtId="0" fontId="19" fillId="7" borderId="0" xfId="0" applyFont="1" applyFill="1" applyBorder="1" applyAlignment="1"/>
    <xf numFmtId="1" fontId="0" fillId="8" borderId="0" xfId="0" applyNumberFormat="1" applyFill="1"/>
    <xf numFmtId="0" fontId="13" fillId="8" borderId="0" xfId="0" applyFont="1" applyFill="1"/>
    <xf numFmtId="0" fontId="18" fillId="8" borderId="0" xfId="0" applyFont="1" applyFill="1"/>
    <xf numFmtId="0" fontId="0" fillId="8" borderId="0" xfId="0" applyFill="1" applyAlignment="1">
      <alignment horizontal="justify" vertical="top"/>
    </xf>
    <xf numFmtId="0" fontId="14" fillId="8" borderId="0" xfId="0" applyFont="1" applyFill="1" applyBorder="1" applyAlignment="1" applyProtection="1">
      <alignment wrapText="1"/>
    </xf>
    <xf numFmtId="0" fontId="0" fillId="8" borderId="0" xfId="0" applyFont="1" applyFill="1" applyBorder="1" applyProtection="1"/>
    <xf numFmtId="0" fontId="0" fillId="0" borderId="0" xfId="0" applyBorder="1" applyAlignment="1" applyProtection="1">
      <alignment wrapText="1"/>
    </xf>
    <xf numFmtId="0" fontId="0" fillId="7" borderId="8" xfId="0" applyFill="1" applyBorder="1" applyAlignment="1" applyProtection="1">
      <alignment wrapText="1"/>
    </xf>
    <xf numFmtId="0" fontId="0" fillId="0" borderId="9" xfId="0" applyBorder="1" applyProtection="1"/>
    <xf numFmtId="2" fontId="0" fillId="0" borderId="9" xfId="1" applyNumberFormat="1" applyFont="1" applyBorder="1" applyProtection="1"/>
    <xf numFmtId="2" fontId="0" fillId="8" borderId="9" xfId="1" applyNumberFormat="1" applyFont="1" applyFill="1" applyBorder="1" applyProtection="1"/>
    <xf numFmtId="0" fontId="0" fillId="8" borderId="9" xfId="0" applyFill="1" applyBorder="1" applyProtection="1"/>
    <xf numFmtId="184" fontId="0" fillId="6" borderId="9" xfId="1" applyNumberFormat="1" applyFont="1" applyFill="1" applyBorder="1" applyProtection="1"/>
    <xf numFmtId="184" fontId="28" fillId="6" borderId="9" xfId="0" applyNumberFormat="1" applyFont="1" applyFill="1" applyBorder="1" applyProtection="1"/>
    <xf numFmtId="0" fontId="0" fillId="8" borderId="0" xfId="0" applyFont="1" applyFill="1" applyBorder="1" applyAlignment="1" applyProtection="1">
      <alignment horizontal="left" wrapText="1"/>
    </xf>
    <xf numFmtId="0" fontId="0" fillId="6" borderId="8" xfId="0" applyFill="1" applyBorder="1" applyAlignment="1" applyProtection="1">
      <alignment shrinkToFit="1"/>
      <protection hidden="1"/>
    </xf>
    <xf numFmtId="0" fontId="0" fillId="0" borderId="9" xfId="0" applyBorder="1" applyAlignment="1" applyProtection="1">
      <alignment shrinkToFit="1"/>
      <protection locked="0"/>
    </xf>
    <xf numFmtId="0" fontId="0" fillId="6" borderId="9" xfId="0" applyFill="1" applyBorder="1" applyAlignment="1" applyProtection="1">
      <alignment shrinkToFit="1"/>
      <protection locked="0"/>
    </xf>
    <xf numFmtId="2" fontId="0" fillId="0" borderId="9" xfId="1" applyNumberFormat="1" applyFont="1" applyBorder="1" applyAlignment="1" applyProtection="1">
      <alignment shrinkToFit="1"/>
      <protection locked="0"/>
    </xf>
    <xf numFmtId="2" fontId="0" fillId="8" borderId="9" xfId="1" applyNumberFormat="1" applyFont="1" applyFill="1" applyBorder="1" applyAlignment="1" applyProtection="1">
      <alignment shrinkToFit="1"/>
      <protection locked="0"/>
    </xf>
    <xf numFmtId="166" fontId="0" fillId="6" borderId="9" xfId="0" applyNumberFormat="1" applyFill="1" applyBorder="1" applyAlignment="1" applyProtection="1">
      <alignment shrinkToFit="1"/>
    </xf>
    <xf numFmtId="0" fontId="0" fillId="8" borderId="9" xfId="0" applyFill="1" applyBorder="1" applyAlignment="1" applyProtection="1">
      <alignment shrinkToFit="1"/>
      <protection locked="0"/>
    </xf>
    <xf numFmtId="2" fontId="0" fillId="6" borderId="9" xfId="0" applyNumberFormat="1" applyFill="1" applyBorder="1" applyAlignment="1" applyProtection="1">
      <alignment shrinkToFit="1"/>
    </xf>
    <xf numFmtId="166" fontId="0" fillId="6" borderId="9" xfId="0" applyNumberFormat="1" applyFill="1" applyBorder="1" applyAlignment="1">
      <alignment shrinkToFit="1"/>
    </xf>
    <xf numFmtId="184" fontId="0" fillId="6" borderId="9" xfId="1" applyNumberFormat="1" applyFont="1" applyFill="1" applyBorder="1" applyAlignment="1">
      <alignment shrinkToFit="1"/>
    </xf>
    <xf numFmtId="0" fontId="0" fillId="8" borderId="0" xfId="0" applyFill="1" applyAlignment="1">
      <alignment shrinkToFit="1"/>
    </xf>
    <xf numFmtId="0" fontId="0" fillId="6" borderId="8" xfId="0" applyNumberFormat="1" applyFill="1" applyBorder="1" applyAlignment="1" applyProtection="1">
      <alignment shrinkToFit="1"/>
      <protection hidden="1"/>
    </xf>
    <xf numFmtId="0" fontId="0" fillId="0" borderId="9" xfId="0" applyNumberFormat="1" applyBorder="1" applyAlignment="1" applyProtection="1">
      <alignment shrinkToFit="1"/>
      <protection locked="0"/>
    </xf>
    <xf numFmtId="0" fontId="0" fillId="6" borderId="9" xfId="0" applyNumberFormat="1" applyFill="1" applyBorder="1" applyAlignment="1" applyProtection="1">
      <alignment shrinkToFit="1"/>
      <protection locked="0"/>
    </xf>
    <xf numFmtId="0" fontId="0" fillId="8" borderId="9" xfId="0" applyNumberFormat="1" applyFill="1" applyBorder="1" applyAlignment="1" applyProtection="1">
      <alignment shrinkToFit="1"/>
      <protection locked="0"/>
    </xf>
    <xf numFmtId="166" fontId="0" fillId="6" borderId="9" xfId="1" applyNumberFormat="1" applyFont="1" applyFill="1" applyBorder="1" applyAlignment="1">
      <alignment shrinkToFit="1"/>
    </xf>
    <xf numFmtId="0" fontId="0" fillId="6" borderId="9" xfId="0" applyFill="1" applyBorder="1" applyAlignment="1">
      <alignment shrinkToFit="1"/>
    </xf>
    <xf numFmtId="2" fontId="0" fillId="6" borderId="9" xfId="0" applyNumberFormat="1" applyFill="1" applyBorder="1" applyAlignment="1">
      <alignment shrinkToFit="1"/>
    </xf>
    <xf numFmtId="0" fontId="0" fillId="6" borderId="9" xfId="0" applyFill="1" applyBorder="1" applyAlignment="1" applyProtection="1">
      <alignment shrinkToFit="1"/>
    </xf>
    <xf numFmtId="184" fontId="0" fillId="6" borderId="9" xfId="0" applyNumberFormat="1" applyFont="1" applyFill="1" applyBorder="1" applyAlignment="1">
      <alignment shrinkToFit="1"/>
    </xf>
    <xf numFmtId="0" fontId="19" fillId="10" borderId="0" xfId="0" applyFont="1" applyFill="1" applyBorder="1" applyAlignment="1">
      <alignment horizontal="center"/>
    </xf>
    <xf numFmtId="0" fontId="0" fillId="8" borderId="0" xfId="0" applyFill="1" applyAlignment="1">
      <alignment horizontal="justify" vertical="top" wrapText="1"/>
    </xf>
    <xf numFmtId="0" fontId="0" fillId="8" borderId="0" xfId="0" applyFill="1" applyAlignment="1">
      <alignment horizontal="justify" vertical="top"/>
    </xf>
    <xf numFmtId="0" fontId="19" fillId="9" borderId="0" xfId="0" applyFont="1" applyFill="1" applyBorder="1" applyAlignment="1">
      <alignment horizontal="center"/>
    </xf>
    <xf numFmtId="186" fontId="26" fillId="8" borderId="14" xfId="41" applyNumberFormat="1" applyFont="1" applyFill="1" applyBorder="1" applyAlignment="1" applyProtection="1">
      <alignment horizontal="center" vertical="top" wrapText="1"/>
    </xf>
    <xf numFmtId="186" fontId="26" fillId="8" borderId="12" xfId="41" applyNumberFormat="1" applyFont="1" applyFill="1" applyBorder="1" applyAlignment="1" applyProtection="1">
      <alignment horizontal="center" vertical="top" wrapText="1"/>
    </xf>
    <xf numFmtId="186" fontId="26" fillId="8" borderId="15" xfId="41" applyNumberFormat="1" applyFont="1" applyFill="1" applyBorder="1" applyAlignment="1" applyProtection="1">
      <alignment horizontal="center" vertical="top" wrapText="1"/>
    </xf>
    <xf numFmtId="0" fontId="14" fillId="7" borderId="10"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5" xfId="0" applyFont="1" applyFill="1" applyBorder="1" applyAlignment="1">
      <alignment horizontal="center" vertical="center"/>
    </xf>
    <xf numFmtId="184" fontId="25" fillId="6" borderId="14" xfId="1" applyNumberFormat="1" applyFont="1" applyFill="1" applyBorder="1" applyAlignment="1">
      <alignment horizontal="center" vertical="center"/>
    </xf>
    <xf numFmtId="184" fontId="25" fillId="6" borderId="12" xfId="1" applyNumberFormat="1" applyFont="1" applyFill="1" applyBorder="1" applyAlignment="1">
      <alignment horizontal="center" vertical="center"/>
    </xf>
    <xf numFmtId="184" fontId="25" fillId="6" borderId="15" xfId="1" applyNumberFormat="1" applyFont="1" applyFill="1" applyBorder="1" applyAlignment="1">
      <alignment horizontal="center" vertical="center"/>
    </xf>
    <xf numFmtId="0" fontId="25" fillId="6" borderId="14" xfId="0" applyFont="1" applyFill="1" applyBorder="1" applyAlignment="1">
      <alignment horizontal="center" vertical="center"/>
    </xf>
    <xf numFmtId="0" fontId="25" fillId="6" borderId="12" xfId="0" applyFont="1" applyFill="1" applyBorder="1" applyAlignment="1">
      <alignment horizontal="center" vertical="center"/>
    </xf>
    <xf numFmtId="0" fontId="25" fillId="6" borderId="15" xfId="0" applyFont="1" applyFill="1" applyBorder="1" applyAlignment="1">
      <alignment horizontal="center" vertical="center"/>
    </xf>
    <xf numFmtId="0" fontId="23" fillId="12" borderId="0" xfId="0" applyFont="1" applyFill="1" applyAlignment="1">
      <alignment horizontal="center" vertical="center" wrapText="1"/>
    </xf>
    <xf numFmtId="0" fontId="22" fillId="12" borderId="0" xfId="0" applyFont="1" applyFill="1" applyAlignment="1">
      <alignment horizontal="center" vertical="center" wrapText="1"/>
    </xf>
    <xf numFmtId="0" fontId="19" fillId="12" borderId="0" xfId="0" applyFont="1" applyFill="1" applyBorder="1" applyAlignment="1">
      <alignment horizontal="center"/>
    </xf>
    <xf numFmtId="0" fontId="19" fillId="10" borderId="0" xfId="0" applyFont="1" applyFill="1" applyBorder="1" applyAlignment="1" applyProtection="1">
      <alignment horizontal="center"/>
    </xf>
  </cellXfs>
  <cellStyles count="42">
    <cellStyle name="_x0010_“+ˆÉ•?pý¤" xfId="4"/>
    <cellStyle name="Actual Date" xfId="5"/>
    <cellStyle name="Center" xfId="6"/>
    <cellStyle name="Comma 2" xfId="7"/>
    <cellStyle name="Currency 2" xfId="8"/>
    <cellStyle name="Date" xfId="9"/>
    <cellStyle name="Dezimal 2" xfId="41"/>
    <cellStyle name="eemdata" xfId="10"/>
    <cellStyle name="eqptdensity" xfId="11"/>
    <cellStyle name="Fixed" xfId="12"/>
    <cellStyle name="gal" xfId="13"/>
    <cellStyle name="Grey" xfId="14"/>
    <cellStyle name="HEADER" xfId="15"/>
    <cellStyle name="Heading1" xfId="16"/>
    <cellStyle name="Heading2" xfId="17"/>
    <cellStyle name="HIGHLIGHT" xfId="18"/>
    <cellStyle name="HP" xfId="19"/>
    <cellStyle name="Input [yellow]" xfId="20"/>
    <cellStyle name="kBtuh" xfId="21"/>
    <cellStyle name="kW" xfId="22"/>
    <cellStyle name="kWh" xfId="23"/>
    <cellStyle name="no dec" xfId="24"/>
    <cellStyle name="Normal" xfId="0" builtinId="0"/>
    <cellStyle name="Normal - Style1" xfId="25"/>
    <cellStyle name="Normal 2" xfId="2"/>
    <cellStyle name="Normal 3" xfId="3"/>
    <cellStyle name="Normal 4" xfId="37"/>
    <cellStyle name="Normal 5" xfId="40"/>
    <cellStyle name="Percent" xfId="1" builtinId="5"/>
    <cellStyle name="Percent [2]" xfId="27"/>
    <cellStyle name="Percent 2" xfId="26"/>
    <cellStyle name="Percent 3" xfId="39"/>
    <cellStyle name="Percent 4" xfId="38"/>
    <cellStyle name="rpm" xfId="28"/>
    <cellStyle name="therms" xfId="29"/>
    <cellStyle name="ton" xfId="30"/>
    <cellStyle name="Total 2" xfId="31"/>
    <cellStyle name="Unprot" xfId="32"/>
    <cellStyle name="Unprot$" xfId="33"/>
    <cellStyle name="Unprotect" xfId="34"/>
    <cellStyle name="volt" xfId="35"/>
    <cellStyle name="Watt" xfId="36"/>
  </cellStyles>
  <dxfs count="164">
    <dxf>
      <font>
        <b val="0"/>
        <i val="0"/>
        <strike val="0"/>
        <condense val="0"/>
        <extend val="0"/>
        <outline val="0"/>
        <shadow val="0"/>
        <u val="none"/>
        <vertAlign val="baseline"/>
        <sz val="11"/>
        <color theme="1"/>
        <name val="Calibri"/>
        <scheme val="minor"/>
      </font>
      <numFmt numFmtId="184" formatCode="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font>
        <b val="0"/>
        <i val="0"/>
        <strike val="0"/>
        <condense val="0"/>
        <extend val="0"/>
        <outline val="0"/>
        <shadow val="0"/>
        <u val="none"/>
        <vertAlign val="baseline"/>
        <sz val="11"/>
        <color theme="1"/>
        <name val="Calibri"/>
        <scheme val="minor"/>
      </font>
      <numFmt numFmtId="184" formatCode="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2" formatCode="0.0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0" formatCode="General"/>
      <fill>
        <patternFill patternType="solid">
          <fgColor indexed="64"/>
          <bgColor theme="0"/>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2" formatCode="0.00"/>
      <fill>
        <patternFill patternType="solid">
          <fgColor indexed="64"/>
          <bgColor theme="0"/>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2" formatCode="0.0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0" formatCode="General"/>
      <fill>
        <patternFill patternType="solid">
          <fgColor indexed="64"/>
          <bgColor rgb="FFC7C8C9"/>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numFmt numFmtId="0" formatCode="General"/>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border diagonalUp="0" diagonalDown="0">
        <left style="thin">
          <color theme="0" tint="-4.9989318521683403E-2"/>
        </left>
        <right style="thin">
          <color theme="0" tint="-4.9989318521683403E-2"/>
        </right>
        <top/>
        <bottom/>
      </border>
      <protection locked="1"/>
    </dxf>
    <dxf>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0" formatCode="General"/>
      <fill>
        <patternFill patternType="solid">
          <fgColor indexed="64"/>
          <bgColor rgb="FFC7C8C9"/>
        </patternFill>
      </fill>
      <border diagonalUp="0" diagonalDown="0">
        <left/>
        <right style="thin">
          <color theme="0" tint="-4.9989318521683403E-2"/>
        </right>
        <top/>
        <bottom/>
      </border>
      <protection locked="1" hidden="1"/>
    </dxf>
    <dxf>
      <numFmt numFmtId="0" formatCode="General"/>
      <fill>
        <patternFill patternType="solid">
          <fgColor indexed="64"/>
          <bgColor rgb="FFC7C8C9"/>
        </patternFill>
      </fill>
      <border diagonalUp="0" diagonalDown="0">
        <left/>
        <right style="thin">
          <color theme="0" tint="-4.9989318521683403E-2"/>
        </right>
        <top/>
        <bottom/>
        <vertical style="thin">
          <color theme="0" tint="-4.9989318521683403E-2"/>
        </vertical>
        <horizontal/>
      </border>
      <protection locked="1" hidden="1"/>
    </dxf>
    <dxf>
      <numFmt numFmtId="13" formatCode="0%"/>
      <border diagonalUp="0" diagonalDown="0">
        <left style="thin">
          <color rgb="FFF2F2F2"/>
        </left>
        <right style="thin">
          <color rgb="FFF2F2F2"/>
        </right>
        <top/>
        <bottom/>
        <vertical style="thin">
          <color rgb="FFF2F2F2"/>
        </vertical>
        <horizontal/>
      </border>
      <protection locked="1"/>
    </dxf>
    <dxf>
      <border diagonalUp="0" diagonalDown="0">
        <left/>
        <right/>
        <top/>
        <bottom/>
      </border>
    </dxf>
    <dxf>
      <protection locked="1"/>
    </dxf>
    <dxf>
      <numFmt numFmtId="13" formatCode="0%"/>
      <alignment horizontal="center" vertical="bottom"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protection locked="1"/>
    </dxf>
    <dxf>
      <font>
        <b val="0"/>
        <i val="0"/>
        <strike val="0"/>
        <condense val="0"/>
        <extend val="0"/>
        <outline val="0"/>
        <shadow val="0"/>
        <u val="none"/>
        <vertAlign val="baseline"/>
        <sz val="8"/>
        <color auto="1"/>
        <name val="Arial"/>
        <scheme val="none"/>
      </font>
      <numFmt numFmtId="2" formatCode="0.00"/>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 formatCode="0"/>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8"/>
        <color auto="1"/>
        <name val="Arial"/>
        <scheme val="none"/>
      </font>
    </dxf>
    <dxf>
      <font>
        <b/>
        <i val="0"/>
        <strike val="0"/>
        <condense val="0"/>
        <extend val="0"/>
        <outline val="0"/>
        <shadow val="0"/>
        <u val="none"/>
        <vertAlign val="baseline"/>
        <sz val="8"/>
        <color theme="0" tint="-0.14999847407452621"/>
        <name val="Arial"/>
        <scheme val="none"/>
      </font>
      <fill>
        <patternFill patternType="solid">
          <fgColor indexed="64"/>
          <bgColor theme="7"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2" formatCode="0.00"/>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8"/>
        <color auto="1"/>
        <name val="Arial"/>
        <scheme val="none"/>
      </font>
    </dxf>
    <dxf>
      <font>
        <b/>
        <i val="0"/>
        <strike val="0"/>
        <condense val="0"/>
        <extend val="0"/>
        <outline val="0"/>
        <shadow val="0"/>
        <u val="none"/>
        <vertAlign val="baseline"/>
        <sz val="8"/>
        <color theme="0" tint="-0.14999847407452621"/>
        <name val="Arial"/>
        <scheme val="none"/>
      </font>
      <fill>
        <patternFill patternType="solid">
          <fgColor indexed="64"/>
          <bgColor theme="7" tint="-0.249977111117893"/>
        </patternFill>
      </fill>
      <alignment horizontal="center" vertical="center" textRotation="0" wrapText="1" indent="0" justifyLastLine="0" shrinkToFit="0" readingOrder="0"/>
    </dxf>
    <dxf>
      <numFmt numFmtId="0" formatCode="General"/>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center"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center"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bottom"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bottom"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numFmt numFmtId="2" formatCode="0.0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numFmt numFmtId="2" formatCode="0.00"/>
    </dxf>
    <dxf>
      <border>
        <bottom style="thin">
          <color theme="3"/>
        </bottom>
      </border>
    </dxf>
    <dxf>
      <fill>
        <patternFill patternType="solid">
          <fgColor indexed="64"/>
          <bgColor theme="4" tint="-0.249977111117893"/>
        </patternFill>
      </fill>
      <alignment horizontal="center" vertical="center"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bottom"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center"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numFmt numFmtId="0" formatCode="General"/>
      <alignment horizontal="center" vertical="center" textRotation="0" wrapText="0" indent="0" justifyLastLine="0" shrinkToFit="0" readingOrder="0"/>
      <border diagonalUp="0" diagonalDown="0">
        <left/>
        <right/>
        <top style="thin">
          <color theme="3"/>
        </top>
        <bottom style="thin">
          <color theme="3"/>
        </bottom>
        <vertical style="thin">
          <color theme="3"/>
        </vertical>
        <horizontal style="thin">
          <color theme="3"/>
        </horizontal>
      </border>
    </dxf>
    <dxf>
      <border>
        <top style="thin">
          <color theme="3"/>
        </top>
      </border>
    </dxf>
    <dxf>
      <border diagonalUp="0" diagonalDown="0">
        <left style="thin">
          <color theme="3"/>
        </left>
        <right style="thin">
          <color theme="3"/>
        </right>
        <top style="thin">
          <color theme="3"/>
        </top>
        <bottom style="thin">
          <color theme="3"/>
        </bottom>
      </border>
    </dxf>
    <dxf>
      <alignment horizontal="center" vertical="center" textRotation="0" wrapText="0" indent="0" justifyLastLine="0" shrinkToFit="0" readingOrder="0"/>
    </dxf>
    <dxf>
      <border>
        <bottom style="thin">
          <color theme="3"/>
        </bottom>
      </border>
    </dxf>
    <dxf>
      <fill>
        <patternFill patternType="solid">
          <fgColor indexed="64"/>
          <bgColor theme="4" tint="-0.249977111117893"/>
        </patternFill>
      </fill>
      <alignment horizontal="center" vertical="center" textRotation="0" wrapText="0" indent="0" justifyLastLine="0" shrinkToFit="0" readingOrder="0"/>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Calibri"/>
        <scheme val="minor"/>
      </font>
      <numFmt numFmtId="184" formatCode="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font>
        <b val="0"/>
        <i val="0"/>
        <strike val="0"/>
        <condense val="0"/>
        <extend val="0"/>
        <outline val="0"/>
        <shadow val="0"/>
        <u val="none"/>
        <vertAlign val="baseline"/>
        <sz val="11"/>
        <color theme="1"/>
        <name val="Calibri"/>
        <scheme val="minor"/>
      </font>
      <numFmt numFmtId="184" formatCode="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2" formatCode="0.00"/>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0" formatCode="General"/>
      <fill>
        <patternFill patternType="solid">
          <fgColor indexed="64"/>
          <bgColor theme="0"/>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protection locked="1" hidden="0"/>
    </dxf>
    <dxf>
      <numFmt numFmtId="166" formatCode="_(* #,##0.00_);_(* \(#,##0.00\);_(* &quot;-&quot;??_);_(@_)"/>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1"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2" formatCode="0.00"/>
      <fill>
        <patternFill patternType="solid">
          <fgColor indexed="64"/>
          <bgColor theme="0"/>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numFmt numFmtId="2" formatCode="0.00"/>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2" formatCode="0.00"/>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0" formatCode="General"/>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numFmt numFmtId="0" formatCode="Genera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fill>
        <patternFill patternType="solid">
          <fgColor indexed="64"/>
          <bgColor rgb="FFC7C8C9"/>
        </patternFill>
      </fill>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border>
    </dxf>
    <dxf>
      <alignment horizontal="general" vertical="bottom" textRotation="0" wrapText="0" indent="0" justifyLastLine="0" shrinkToFit="1" readingOrder="0"/>
      <border diagonalUp="0" diagonalDown="0">
        <left style="thin">
          <color theme="0" tint="-4.9989318521683403E-2"/>
        </left>
        <right style="thin">
          <color theme="0" tint="-4.9989318521683403E-2"/>
        </right>
        <top/>
        <bottom/>
        <vertical style="thin">
          <color theme="0" tint="-4.9989318521683403E-2"/>
        </vertical>
        <horizontal/>
      </border>
      <protection locked="0" hidden="0"/>
    </dxf>
    <dxf>
      <numFmt numFmtId="0" formatCode="General"/>
      <fill>
        <patternFill patternType="solid">
          <fgColor indexed="64"/>
          <bgColor rgb="FFC7C8C9"/>
        </patternFill>
      </fill>
      <alignment horizontal="general" vertical="bottom" textRotation="0" wrapText="0" indent="0" justifyLastLine="0" shrinkToFit="1" readingOrder="0"/>
      <border diagonalUp="0" diagonalDown="0">
        <left/>
        <right style="thin">
          <color theme="0" tint="-4.9989318521683403E-2"/>
        </right>
        <top/>
        <bottom/>
      </border>
      <protection locked="1" hidden="1"/>
    </dxf>
    <dxf>
      <numFmt numFmtId="0" formatCode="General"/>
      <fill>
        <patternFill patternType="solid">
          <fgColor indexed="64"/>
          <bgColor rgb="FFC7C8C9"/>
        </patternFill>
      </fill>
      <alignment horizontal="general" vertical="bottom" textRotation="0" wrapText="0" indent="0" justifyLastLine="0" shrinkToFit="1" readingOrder="0"/>
      <border diagonalUp="0" diagonalDown="0">
        <left/>
        <right style="thin">
          <color theme="0" tint="-4.9989318521683403E-2"/>
        </right>
        <top/>
        <bottom/>
        <vertical style="thin">
          <color theme="0" tint="-4.9989318521683403E-2"/>
        </vertical>
        <horizontal/>
      </border>
      <protection locked="1" hidden="1"/>
    </dxf>
    <dxf>
      <border diagonalUp="0" diagonalDown="0">
        <left style="thin">
          <color theme="0" tint="-4.9989318521683403E-2"/>
        </left>
        <right style="thin">
          <color theme="0" tint="-4.9989318521683403E-2"/>
        </right>
        <top/>
        <bottom/>
        <vertical style="thin">
          <color theme="0" tint="-4.9989318521683403E-2"/>
        </vertical>
        <horizontal/>
      </border>
    </dxf>
    <dxf>
      <border diagonalUp="0" diagonalDown="0">
        <left/>
        <right/>
        <top/>
        <bottom/>
      </border>
    </dxf>
    <dxf>
      <numFmt numFmtId="13" formatCode="0%"/>
      <alignment horizontal="center" vertical="bottom"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s>
  <tableStyles count="0" defaultTableStyle="TableStyleMedium2" defaultPivotStyle="PivotStyleLight16"/>
  <colors>
    <mruColors>
      <color rgb="FF464749"/>
      <color rgb="FFC7C9CB"/>
      <color rgb="FFC7C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11</xdr:col>
      <xdr:colOff>190500</xdr:colOff>
      <xdr:row>0</xdr:row>
      <xdr:rowOff>123825</xdr:rowOff>
    </xdr:from>
    <xdr:to>
      <xdr:col>12</xdr:col>
      <xdr:colOff>323850</xdr:colOff>
      <xdr:row>3</xdr:row>
      <xdr:rowOff>161147</xdr:rowOff>
    </xdr:to>
    <xdr:pic>
      <xdr:nvPicPr>
        <xdr:cNvPr id="4" name="Picture 3"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6543675" y="123825"/>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12</xdr:col>
      <xdr:colOff>390524</xdr:colOff>
      <xdr:row>0</xdr:row>
      <xdr:rowOff>123825</xdr:rowOff>
    </xdr:from>
    <xdr:to>
      <xdr:col>13</xdr:col>
      <xdr:colOff>554901</xdr:colOff>
      <xdr:row>3</xdr:row>
      <xdr:rowOff>149485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7353299" y="123825"/>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133351</xdr:colOff>
      <xdr:row>0</xdr:row>
      <xdr:rowOff>19050</xdr:rowOff>
    </xdr:from>
    <xdr:to>
      <xdr:col>2</xdr:col>
      <xdr:colOff>438151</xdr:colOff>
      <xdr:row>3</xdr:row>
      <xdr:rowOff>56372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133351" y="190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504825</xdr:colOff>
      <xdr:row>0</xdr:row>
      <xdr:rowOff>19050</xdr:rowOff>
    </xdr:from>
    <xdr:to>
      <xdr:col>2</xdr:col>
      <xdr:colOff>1278802</xdr:colOff>
      <xdr:row>3</xdr:row>
      <xdr:rowOff>44710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942975" y="190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236003</xdr:colOff>
      <xdr:row>0</xdr:row>
      <xdr:rowOff>52921</xdr:rowOff>
    </xdr:from>
    <xdr:to>
      <xdr:col>1</xdr:col>
      <xdr:colOff>693203</xdr:colOff>
      <xdr:row>3</xdr:row>
      <xdr:rowOff>92360</xdr:rowOff>
    </xdr:to>
    <xdr:pic>
      <xdr:nvPicPr>
        <xdr:cNvPr id="4" name="Picture 3"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36003" y="52921"/>
          <a:ext cx="742950" cy="687139"/>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xdr:col>
      <xdr:colOff>759877</xdr:colOff>
      <xdr:row>0</xdr:row>
      <xdr:rowOff>52921</xdr:rowOff>
    </xdr:from>
    <xdr:to>
      <xdr:col>1</xdr:col>
      <xdr:colOff>1533854</xdr:colOff>
      <xdr:row>3</xdr:row>
      <xdr:rowOff>80698</xdr:rowOff>
    </xdr:to>
    <xdr:pic>
      <xdr:nvPicPr>
        <xdr:cNvPr id="6" name="Picture 5"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45627" y="52921"/>
          <a:ext cx="773977" cy="675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95250</xdr:colOff>
      <xdr:row>0</xdr:row>
      <xdr:rowOff>47625</xdr:rowOff>
    </xdr:from>
    <xdr:to>
      <xdr:col>1</xdr:col>
      <xdr:colOff>228600</xdr:colOff>
      <xdr:row>3</xdr:row>
      <xdr:rowOff>87064</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95250" y="47625"/>
          <a:ext cx="742950" cy="687139"/>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xdr:col>
      <xdr:colOff>295274</xdr:colOff>
      <xdr:row>0</xdr:row>
      <xdr:rowOff>47625</xdr:rowOff>
    </xdr:from>
    <xdr:to>
      <xdr:col>2</xdr:col>
      <xdr:colOff>459651</xdr:colOff>
      <xdr:row>3</xdr:row>
      <xdr:rowOff>75402</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904874" y="47625"/>
          <a:ext cx="773977" cy="675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133351</xdr:colOff>
      <xdr:row>0</xdr:row>
      <xdr:rowOff>19050</xdr:rowOff>
    </xdr:from>
    <xdr:to>
      <xdr:col>2</xdr:col>
      <xdr:colOff>438151</xdr:colOff>
      <xdr:row>3</xdr:row>
      <xdr:rowOff>56372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133351" y="190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504825</xdr:colOff>
      <xdr:row>0</xdr:row>
      <xdr:rowOff>19050</xdr:rowOff>
    </xdr:from>
    <xdr:to>
      <xdr:col>2</xdr:col>
      <xdr:colOff>1278802</xdr:colOff>
      <xdr:row>3</xdr:row>
      <xdr:rowOff>44710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942975" y="190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B5:Y18" totalsRowCount="1" headerRowDxfId="163" totalsRowDxfId="161" tableBorderDxfId="162">
  <autoFilter ref="B5:Y17"/>
  <tableColumns count="24">
    <tableColumn id="1" name="#" totalsRowFunction="countNums" dataDxfId="160" totalsRowDxfId="159">
      <calculatedColumnFormula>IF(Table3[[#This Row],[Boiler Code
'[Identity']]]=C5,"",IF(Table3[[#This Row],[Boiler Code
'[Identity']]]=0,"",ROW(Table3[[#This Row],[Boiler Code
'[Identity']]])-ROW(Table3[[#Headers],[Boiler Code
'[Identity']]])))</calculatedColumnFormula>
    </tableColumn>
    <tableColumn id="2" name="Boiler Code_x000a_[Identity]" dataDxfId="158" totalsRowDxfId="157"/>
    <tableColumn id="3" name="Boiler Heating Surface Area_x000a_[m²]" dataDxfId="156" totalsRowDxfId="155"/>
    <tableColumn id="4" name="Rated Boiler Capacity_x000a_[kWhth]" totalsRowFunction="sum" dataDxfId="154" totalsRowDxfId="153">
      <calculatedColumnFormula>Table3[[#This Row],[Boiler Heating Surface Area
'[m²']]]*10</calculatedColumnFormula>
    </tableColumn>
    <tableColumn id="5" name="Average Steam Production from Steam Flow Meter_x000a_[Ton/h]" totalsRowFunction="sum" dataDxfId="152" totalsRowDxfId="151" dataCellStyle="Percent"/>
    <tableColumn id="23" name="Steam Pressure_x000a_[bar]" dataDxfId="150" totalsRowDxfId="149" dataCellStyle="Percent"/>
    <tableColumn id="7" name="Steam Temperature_x000a_[⁰C]" dataDxfId="148" totalsRowDxfId="147"/>
    <tableColumn id="32" name="Specific Enthalpy of Steam_x000a_[kJ/kg]" dataDxfId="146" totalsRowDxfId="145">
      <calculatedColumnFormula>IF(Table3[[#This Row],[Steam Pressure
'[bar']]]&gt;0,VLOOKUP(Table3[[#This Row],[Steam Pressure
'[bar']]],Table327[],3,TRUE),0)</calculatedColumnFormula>
    </tableColumn>
    <tableColumn id="14" name="Specific Enthalpy of Steam_x000a_[mmBtu/Ton]" dataDxfId="144" totalsRowDxfId="143">
      <calculatedColumnFormula>(Table3[[#This Row],[Specific Enthalpy of Steam
'[kJ/kg']]]/1000)*0.00094708628903179*1000</calculatedColumnFormula>
    </tableColumn>
    <tableColumn id="8" name="Calculated Steam Production_x000a_[Ton/h]" totalsRowFunction="sum" dataDxfId="142" totalsRowDxfId="141">
      <calculatedColumnFormula>IF(Table3[[#This Row],[Specific Enthalpy of Steam
'[kJ/kg']]]&gt;0,IF(Table3[[#This Row],[Average Steam Production from Steam Flow Meter
'[Ton/h']]]&gt;0,Table3[[#This Row],[Average Steam Production from Steam Flow Meter
'[Ton/h']]],Table3[[#This Row],[Rated Boiler Capacity
'[kWhth']]]/(Table3[[#This Row],[Specific Enthalpy of Steam
'[kJ/kg']]]/3.6)),0)</calculatedColumnFormula>
    </tableColumn>
    <tableColumn id="13" name="Calculated Steam Production_x000a_[Ton/y]" totalsRowFunction="sum" dataDxfId="140" totalsRowDxfId="139">
      <calculatedColumnFormula>Table3[[#This Row],[Calculated Steam Production
'[Ton/h']]]*Table3[[#This Row],[Annual Operation
'[hrs/y']]]</calculatedColumnFormula>
    </tableColumn>
    <tableColumn id="35" name="Annual Operation_x000a_[hrs/y]" totalsRowFunction="average" dataDxfId="138" totalsRowDxfId="137"/>
    <tableColumn id="36" name="Feed Water Temperature_x000a_[⁰C]" dataDxfId="136" totalsRowDxfId="135"/>
    <tableColumn id="37" name="Enthalpy of Feed Water_x000a_[kJ/kg]" dataDxfId="134" totalsRowDxfId="133">
      <calculatedColumnFormula>IF(Table3[[#This Row],[Feed Water Temperature
'[⁰C']]]&gt;0,VLOOKUP(Table3[[#This Row],[Feed Water Temperature
'[⁰C']]],Table426[],4,TRUE),0)</calculatedColumnFormula>
    </tableColumn>
    <tableColumn id="15" name="Enthalpy of Feed Water_x000a_[mmBtu/Ton]" dataDxfId="132" totalsRowDxfId="131">
      <calculatedColumnFormula>(Table3[[#This Row],[Enthalpy of Feed Water
'[kJ/kg']]]/1000)*0.00094708628903179*1000</calculatedColumnFormula>
    </tableColumn>
    <tableColumn id="43" name="Net Energy Required_x000a_[mmBtu/y]" totalsRowFunction="sum" dataDxfId="130" totalsRowDxfId="129">
      <calculatedColumnFormula>(Table3[[#This Row],[Specific Enthalpy of Steam
'[mmBtu/Ton']]]-Table3[[#This Row],[Enthalpy of Feed Water
'[mmBtu/Ton']]])*Table3[[#This Row],[Calculated Steam Production
'[Ton/h']]]*Table3[[#This Row],[Annual Operation
'[hrs/y']]]</calculatedColumnFormula>
    </tableColumn>
    <tableColumn id="10" name="Boiler Fuel" dataDxfId="128" totalsRowDxfId="127"/>
    <tableColumn id="33" name="Fuel Price [PKR/ mmbtu]" totalsRowFunction="average" dataDxfId="126" totalsRowDxfId="125"/>
    <tableColumn id="12" name="Annual Fuel Consumption_x000a_[mmbtu/y]" totalsRowFunction="sum" dataDxfId="124" totalsRowDxfId="123" dataCellStyle="Percent"/>
    <tableColumn id="20" name="Specific Fuel Consumption_x000a_[mmbtu/Ton]" totalsRowFunction="average" dataDxfId="122" totalsRowDxfId="121" dataCellStyle="Percent">
      <calculatedColumnFormula>IF(Table3[[#This Row],[Annual Fuel Consumption
'[mmbtu/y']]]=0,"",Table3[[#This Row],[Annual Fuel Consumption
'[mmbtu/y']]]/(Table3[[#This Row],[Calculated Steam Production
'[Ton/h']]]*Table3[[#This Row],[Annual Operation
'[hrs/y']]]))</calculatedColumnFormula>
    </tableColumn>
    <tableColumn id="21" name="Hourly Fuel Consumption_x000a_[mmbtu/h]" totalsRowFunction="average" dataDxfId="120" totalsRowDxfId="119" dataCellStyle="Percent">
      <calculatedColumnFormula>IF(Table3[[#This Row],[Annual Operation
'[hrs/y']]]=0,"",Table3[[#This Row],[Annual Fuel Consumption
'[mmbtu/y']]]/Table3[[#This Row],[Annual Operation
'[hrs/y']]])</calculatedColumnFormula>
    </tableColumn>
    <tableColumn id="22" name="Total Energy Cost_x000a_[MPKR/y]" totalsRowFunction="sum" dataDxfId="118" totalsRowDxfId="117" dataCellStyle="Percent">
      <calculatedColumnFormula>Table3[[#This Row],[Annual Fuel Consumption
'[mmbtu/y']]]*Table3[[#This Row],[Fuel Price '[PKR/ mmbtu']]]/1000000</calculatedColumnFormula>
    </tableColumn>
    <tableColumn id="29" name="Steam Fuel Cost_x000a_[PKR/Ton]" totalsRowFunction="custom" dataDxfId="116" totalsRowDxfId="115" dataCellStyle="Percent">
      <calculatedColumnFormula>IF(Table3[[#This Row],[Calculated Steam Production
'[Ton/y']]]=0,0,Table3[[#This Row],[Total Energy Cost
'[MPKR/y']]]*1000000/Table3[[#This Row],[Calculated Steam Production
'[Ton/y']]])</calculatedColumnFormula>
      <totalsRowFormula>Table3[[#Totals],[Total Energy Cost
'[MPKR/y']]]*1000000/Table3[[#Totals],[Calculated Steam Production
'[Ton/y']]]</totalsRowFormula>
    </tableColumn>
    <tableColumn id="28" name="Net Boiler Efficiency_x000a_[%]" totalsRowFunction="average" dataDxfId="114" totalsRowDxfId="113" dataCellStyle="Percent">
      <calculatedColumnFormula>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calculatedColumnFormula>
    </tableColumn>
  </tableColumns>
  <tableStyleInfo name="TableStyleLight10" showFirstColumn="0" showLastColumn="0" showRowStripes="1" showColumnStripes="0"/>
</table>
</file>

<file path=xl/tables/table10.xml><?xml version="1.0" encoding="utf-8"?>
<table xmlns="http://schemas.openxmlformats.org/spreadsheetml/2006/main" id="25" name="Table426" displayName="Table426" ref="B7:E108" totalsRowShown="0" headerRowDxfId="64" dataDxfId="63" tableBorderDxfId="62">
  <autoFilter ref="B7:E108"/>
  <tableColumns count="4">
    <tableColumn id="1" name="°C" dataDxfId="61"/>
    <tableColumn id="2" name="°K" dataDxfId="60">
      <calculatedColumnFormula>CONVERT(B8,"C","K")</calculatedColumnFormula>
    </tableColumn>
    <tableColumn id="3" name="Bar" dataDxfId="59"/>
    <tableColumn id="4" name="kj/kg" dataDxfId="58"/>
  </tableColumns>
  <tableStyleInfo name="TableStyleLight8" showFirstColumn="0" showLastColumn="0" showRowStripes="1" showColumnStripes="0"/>
</table>
</file>

<file path=xl/tables/table11.xml><?xml version="1.0" encoding="utf-8"?>
<table xmlns="http://schemas.openxmlformats.org/spreadsheetml/2006/main" id="26" name="Table327" displayName="Table327" ref="G7:I108" totalsRowShown="0" headerRowDxfId="57" dataDxfId="56" tableBorderDxfId="55">
  <autoFilter ref="G7:I108"/>
  <tableColumns count="3">
    <tableColumn id="1" name="Bar" dataDxfId="54"/>
    <tableColumn id="2" name="psi" dataDxfId="53"/>
    <tableColumn id="3" name="kj/kg" dataDxfId="52"/>
  </tableColumns>
  <tableStyleInfo name="TableStyleLight8" showFirstColumn="0" showLastColumn="0" showRowStripes="1" showColumnStripes="0"/>
</table>
</file>

<file path=xl/tables/table12.xml><?xml version="1.0" encoding="utf-8"?>
<table xmlns="http://schemas.openxmlformats.org/spreadsheetml/2006/main" id="1" name="Table32" displayName="Table32" ref="B5:Y8" totalsRowCount="1" headerRowDxfId="51" dataDxfId="50" totalsRowDxfId="48" tableBorderDxfId="49">
  <autoFilter ref="B5:Y7"/>
  <tableColumns count="24">
    <tableColumn id="1" name="#" totalsRowFunction="countNums" dataDxfId="47" totalsRowDxfId="46">
      <calculatedColumnFormula>IF(Table32[[#This Row],[Boiler Code
'[Identity']]]=C5,"",IF(Table32[[#This Row],[Boiler Code
'[Identity']]]=0,"",ROW(Table32[[#This Row],[Boiler Code
'[Identity']]])-ROW(Table32[[#Headers],[Boiler Code
'[Identity']]])))</calculatedColumnFormula>
    </tableColumn>
    <tableColumn id="2" name="Boiler Code_x000a_[Identity]" dataDxfId="45" totalsRowDxfId="44"/>
    <tableColumn id="3" name="Boiler Heating Surface Area_x000a_[m²]" dataDxfId="43" totalsRowDxfId="42"/>
    <tableColumn id="4" name="Rated Boiler Capacity_x000a_[kWhth]" totalsRowFunction="sum" dataDxfId="41" totalsRowDxfId="40">
      <calculatedColumnFormula>Table32[[#This Row],[Boiler Heating Surface Area
'[m²']]]*10</calculatedColumnFormula>
    </tableColumn>
    <tableColumn id="5" name="Average Steam Production from Steam Flow Meter_x000a_[Ton/h]" totalsRowFunction="sum" dataDxfId="39" totalsRowDxfId="38" dataCellStyle="Percent"/>
    <tableColumn id="23" name="Steam Pressure_x000a_[bar]" dataDxfId="37" totalsRowDxfId="36" dataCellStyle="Percent"/>
    <tableColumn id="7" name="Steam Temperature_x000a_[⁰C]" dataDxfId="35" totalsRowDxfId="34"/>
    <tableColumn id="32" name="Specific Enthalpy of Steam_x000a_[kJ/kg]" dataDxfId="33" totalsRowDxfId="32">
      <calculatedColumnFormula>IF(Table32[[#This Row],[Steam Pressure
'[bar']]]&gt;0,VLOOKUP(Table32[[#This Row],[Steam Pressure
'[bar']]],Table327[],3,TRUE),0)</calculatedColumnFormula>
    </tableColumn>
    <tableColumn id="14" name="Specific Enthalpy of Steam_x000a_[mmBtu/Ton]" dataDxfId="31" totalsRowDxfId="30">
      <calculatedColumnFormula>(Table32[[#This Row],[Specific Enthalpy of Steam
'[kJ/kg']]]/1000)*0.00094708628903179*1000</calculatedColumnFormula>
    </tableColumn>
    <tableColumn id="8" name="Calculated Steam Production_x000a_[Ton/h]" totalsRowFunction="sum" dataDxfId="29" totalsRowDxfId="28">
      <calculatedColumnFormula>IF(Table32[[#This Row],[Specific Enthalpy of Steam
'[kJ/kg']]]&gt;0,IF(Table32[[#This Row],[Average Steam Production from Steam Flow Meter
'[Ton/h']]]&gt;0,Table32[[#This Row],[Average Steam Production from Steam Flow Meter
'[Ton/h']]],Table32[[#This Row],[Rated Boiler Capacity
'[kWhth']]]/(Table32[[#This Row],[Specific Enthalpy of Steam
'[kJ/kg']]]/3.6)),0)</calculatedColumnFormula>
    </tableColumn>
    <tableColumn id="13" name="Calculated Steam Production_x000a_[Ton/y]" totalsRowFunction="sum" dataDxfId="27" totalsRowDxfId="26">
      <calculatedColumnFormula>Table32[[#This Row],[Calculated Steam Production
'[Ton/h']]]*Table32[[#This Row],[Annual Operation
'[hrs/y']]]</calculatedColumnFormula>
    </tableColumn>
    <tableColumn id="35" name="Annual Operation_x000a_[hrs/y]" totalsRowFunction="average" dataDxfId="25" totalsRowDxfId="24"/>
    <tableColumn id="36" name="Feed Water Temperature_x000a_[⁰C]" dataDxfId="23" totalsRowDxfId="22"/>
    <tableColumn id="37" name="Enthalpy of Feed Water_x000a_[kJ/kg]" dataDxfId="21" totalsRowDxfId="20">
      <calculatedColumnFormula>IF(Table32[[#This Row],[Feed Water Temperature
'[⁰C']]]&gt;0,VLOOKUP(Table32[[#This Row],[Feed Water Temperature
'[⁰C']]],Table426[],4,TRUE),0)</calculatedColumnFormula>
    </tableColumn>
    <tableColumn id="15" name="Enthalpy of Feed Water_x000a_[mmBtu/Ton]" dataDxfId="19" totalsRowDxfId="18">
      <calculatedColumnFormula>(Table32[[#This Row],[Enthalpy of Feed Water
'[kJ/kg']]]/1000)*0.00094708628903179*1000</calculatedColumnFormula>
    </tableColumn>
    <tableColumn id="43" name="Net Energy Required_x000a_[mmBtu/y]" totalsRowFunction="sum" dataDxfId="17" totalsRowDxfId="16">
      <calculatedColumnFormula>(Table32[[#This Row],[Specific Enthalpy of Steam
'[mmBtu/Ton']]]-Table32[[#This Row],[Enthalpy of Feed Water
'[mmBtu/Ton']]])*Table32[[#This Row],[Calculated Steam Production
'[Ton/h']]]*Table32[[#This Row],[Annual Operation
'[hrs/y']]]</calculatedColumnFormula>
    </tableColumn>
    <tableColumn id="10" name="Boiler Fuel" dataDxfId="15" totalsRowDxfId="14"/>
    <tableColumn id="33" name="Fuel Price [PKR/ mmbtu]" totalsRowFunction="average" dataDxfId="13" totalsRowDxfId="12"/>
    <tableColumn id="12" name="Annual Fuel Consumption_x000a_[mmbtu/y]" totalsRowFunction="sum" dataDxfId="11" totalsRowDxfId="10" dataCellStyle="Percent"/>
    <tableColumn id="20" name="Specific Fuel Consumption_x000a_[mmbtu/Ton]" totalsRowFunction="average" dataDxfId="9" totalsRowDxfId="8" dataCellStyle="Percent">
      <calculatedColumnFormula>IF(Table32[[#This Row],[Annual Fuel Consumption
'[mmbtu/y']]]=0,"",Table32[[#This Row],[Annual Fuel Consumption
'[mmbtu/y']]]/(Table32[[#This Row],[Calculated Steam Production
'[Ton/h']]]*Table32[[#This Row],[Annual Operation
'[hrs/y']]]))</calculatedColumnFormula>
    </tableColumn>
    <tableColumn id="21" name="Hourly Fuel Consumption_x000a_[mmbtu/h]" totalsRowFunction="average" dataDxfId="7" totalsRowDxfId="6" dataCellStyle="Percent">
      <calculatedColumnFormula>IF(Table32[[#This Row],[Annual Operation
'[hrs/y']]]=0,"",Table32[[#This Row],[Annual Fuel Consumption
'[mmbtu/y']]]/Table32[[#This Row],[Annual Operation
'[hrs/y']]])</calculatedColumnFormula>
    </tableColumn>
    <tableColumn id="22" name="Total Energy Cost_x000a_[MPKR/y]" totalsRowFunction="sum" dataDxfId="5" totalsRowDxfId="4" dataCellStyle="Percent">
      <calculatedColumnFormula>Table32[[#This Row],[Annual Fuel Consumption
'[mmbtu/y']]]*Table32[[#This Row],[Fuel Price '[PKR/ mmbtu']]]/1000000</calculatedColumnFormula>
    </tableColumn>
    <tableColumn id="29" name="Steam Fuel Cost_x000a_[PKR/Ton]" totalsRowFunction="custom" dataDxfId="3" totalsRowDxfId="2" dataCellStyle="Percent">
      <calculatedColumnFormula>IF(Table32[[#This Row],[Calculated Steam Production
'[Ton/y']]]=0,0,Table32[[#This Row],[Total Energy Cost
'[MPKR/y']]]*1000000/Table32[[#This Row],[Calculated Steam Production
'[Ton/y']]])</calculatedColumnFormula>
      <totalsRowFormula>Table32[[#Totals],[Total Energy Cost
'[MPKR/y']]]*1000000/Table32[[#Totals],[Calculated Steam Production
'[Ton/y']]]</totalsRowFormula>
    </tableColumn>
    <tableColumn id="28" name="Net Boiler Efficiency_x000a_[%]" totalsRowFunction="average" dataDxfId="1" totalsRowDxfId="0" dataCellStyle="Percent">
      <calculatedColumnFormula>IF(Table32[[#This Row],[Annual Fuel Consumption
'[mmbtu/y']]]=0,"",Table32[[#This Row],[Average Steam Production from Steam Flow Meter
'[Ton/h']]]*Table32[[#This Row],[Annual Operation
'[hrs/y']]]*(Table32[[#This Row],[Specific Enthalpy of Steam
'[mmBtu/Ton']]]-Table32[[#This Row],[Enthalpy of Feed Water
'[mmBtu/Ton']]])/Table32[[#This Row],[Annual Fuel Consumption
'[mmbtu/y']]])</calculatedColumnFormula>
    </tableColumn>
  </tableColumns>
  <tableStyleInfo name="TableStyleLight10" showFirstColumn="0" showLastColumn="0" showRowStripes="1" showColumnStripes="0"/>
</table>
</file>

<file path=xl/tables/table2.xml><?xml version="1.0" encoding="utf-8"?>
<table xmlns="http://schemas.openxmlformats.org/spreadsheetml/2006/main" id="5" name="Table5" displayName="Table5" ref="B7:B9" totalsRowShown="0" headerRowDxfId="112" dataDxfId="110" headerRowBorderDxfId="111" tableBorderDxfId="109" totalsRowBorderDxfId="108">
  <tableColumns count="1">
    <tableColumn id="1" name="No. of Boilers" dataDxfId="107"/>
  </tableColumns>
  <tableStyleInfo name="TableStyleLight9" showFirstColumn="0" showLastColumn="0" showRowStripes="1" showColumnStripes="0"/>
</table>
</file>

<file path=xl/tables/table3.xml><?xml version="1.0" encoding="utf-8"?>
<table xmlns="http://schemas.openxmlformats.org/spreadsheetml/2006/main" id="6" name="Table6" displayName="Table6" ref="B11:B13" totalsRowShown="0" headerRowDxfId="106" dataDxfId="104" headerRowBorderDxfId="105" tableBorderDxfId="103" totalsRowBorderDxfId="102">
  <tableColumns count="1">
    <tableColumn id="1" name="Net Energy Requirement" dataDxfId="101"/>
  </tableColumns>
  <tableStyleInfo name="TableStyleLight9" showFirstColumn="0" showLastColumn="0" showRowStripes="1" showColumnStripes="0"/>
</table>
</file>

<file path=xl/tables/table4.xml><?xml version="1.0" encoding="utf-8"?>
<table xmlns="http://schemas.openxmlformats.org/spreadsheetml/2006/main" id="14" name="Table71315" displayName="Table71315" ref="F7:F9" totalsRowShown="0" headerRowDxfId="100" dataDxfId="98" headerRowBorderDxfId="99" tableBorderDxfId="97" totalsRowBorderDxfId="96">
  <tableColumns count="1">
    <tableColumn id="1" name="Specific Fuel Consumption" dataDxfId="95"/>
  </tableColumns>
  <tableStyleInfo name="TableStyleLight9" showFirstColumn="0" showLastColumn="0" showRowStripes="1" showColumnStripes="0"/>
</table>
</file>

<file path=xl/tables/table5.xml><?xml version="1.0" encoding="utf-8"?>
<table xmlns="http://schemas.openxmlformats.org/spreadsheetml/2006/main" id="15" name="Table15" displayName="Table15" ref="H7:H9" totalsRowShown="0" headerRowDxfId="94" dataDxfId="92" headerRowBorderDxfId="93" tableBorderDxfId="91" totalsRowBorderDxfId="90">
  <tableColumns count="1">
    <tableColumn id="1" name="Hourly Fuel Consumption" dataDxfId="89"/>
  </tableColumns>
  <tableStyleInfo name="TableStyleLight9" showFirstColumn="0" showLastColumn="0" showRowStripes="1" showColumnStripes="0"/>
</table>
</file>

<file path=xl/tables/table6.xml><?xml version="1.0" encoding="utf-8"?>
<table xmlns="http://schemas.openxmlformats.org/spreadsheetml/2006/main" id="16" name="Table7131517" displayName="Table7131517" ref="F11:F13" totalsRowShown="0" headerRowDxfId="88" dataDxfId="86" headerRowBorderDxfId="87" tableBorderDxfId="85" totalsRowBorderDxfId="84">
  <tableColumns count="1">
    <tableColumn id="1" name="Total Energy Cost" dataDxfId="83"/>
  </tableColumns>
  <tableStyleInfo name="TableStyleLight9" showFirstColumn="0" showLastColumn="0" showRowStripes="1" showColumnStripes="0"/>
</table>
</file>

<file path=xl/tables/table7.xml><?xml version="1.0" encoding="utf-8"?>
<table xmlns="http://schemas.openxmlformats.org/spreadsheetml/2006/main" id="17" name="Table713151718" displayName="Table713151718" ref="H11:H13" totalsRowShown="0" headerRowDxfId="82" dataDxfId="80" headerRowBorderDxfId="81" tableBorderDxfId="79" totalsRowBorderDxfId="78">
  <tableColumns count="1">
    <tableColumn id="1" name="Steam Cost (Fuel only)" dataDxfId="77"/>
  </tableColumns>
  <tableStyleInfo name="TableStyleLight9" showFirstColumn="0" showLastColumn="0" showRowStripes="1" showColumnStripes="0"/>
</table>
</file>

<file path=xl/tables/table8.xml><?xml version="1.0" encoding="utf-8"?>
<table xmlns="http://schemas.openxmlformats.org/spreadsheetml/2006/main" id="7" name="Table911128" displayName="Table911128" ref="D11:D13" totalsRowShown="0" headerRowDxfId="76" dataDxfId="74" headerRowBorderDxfId="75" tableBorderDxfId="73" totalsRowBorderDxfId="72">
  <tableColumns count="1">
    <tableColumn id="1" name="Annual Energy Input" dataDxfId="71"/>
  </tableColumns>
  <tableStyleInfo name="TableStyleLight9" showFirstColumn="0" showLastColumn="0" showRowStripes="1" showColumnStripes="0"/>
</table>
</file>

<file path=xl/tables/table9.xml><?xml version="1.0" encoding="utf-8"?>
<table xmlns="http://schemas.openxmlformats.org/spreadsheetml/2006/main" id="11" name="Table512" displayName="Table512" ref="D7:D9" totalsRowShown="0" headerRowDxfId="70" dataDxfId="68" headerRowBorderDxfId="69" tableBorderDxfId="67" totalsRowBorderDxfId="66">
  <tableColumns count="1">
    <tableColumn id="1" name="Total Steam Production" dataDxfId="65"/>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tabSelected="1" workbookViewId="0">
      <selection activeCell="B61" sqref="B61:G67"/>
    </sheetView>
  </sheetViews>
  <sheetFormatPr defaultColWidth="0" defaultRowHeight="15" zeroHeight="1"/>
  <cols>
    <col min="1" max="1" width="3.85546875" style="2" customWidth="1"/>
    <col min="2" max="14" width="9.140625" style="2" customWidth="1"/>
    <col min="15" max="15" width="3.140625" style="2" customWidth="1"/>
    <col min="16" max="16384" width="9.140625" style="2" hidden="1"/>
  </cols>
  <sheetData>
    <row r="1" spans="2:14"/>
    <row r="2" spans="2:14"/>
    <row r="3" spans="2:14" ht="21">
      <c r="B3" s="95" t="s">
        <v>17</v>
      </c>
      <c r="C3" s="95"/>
      <c r="D3" s="95"/>
      <c r="E3" s="95"/>
      <c r="F3" s="95"/>
      <c r="G3" s="95"/>
      <c r="H3" s="95"/>
      <c r="I3" s="6"/>
      <c r="J3" s="6"/>
    </row>
    <row r="4" spans="2:14"/>
    <row r="5" spans="2:14"/>
    <row r="6" spans="2:14">
      <c r="B6" s="96" t="s">
        <v>14</v>
      </c>
      <c r="C6" s="96"/>
      <c r="D6" s="96"/>
      <c r="E6" s="96"/>
      <c r="F6" s="96"/>
      <c r="G6" s="96"/>
      <c r="H6" s="96"/>
      <c r="I6" s="96"/>
      <c r="J6" s="96"/>
      <c r="K6" s="96"/>
      <c r="L6" s="96"/>
      <c r="M6" s="96"/>
      <c r="N6" s="96"/>
    </row>
    <row r="7" spans="2:14">
      <c r="B7" s="96"/>
      <c r="C7" s="96"/>
      <c r="D7" s="96"/>
      <c r="E7" s="96"/>
      <c r="F7" s="96"/>
      <c r="G7" s="96"/>
      <c r="H7" s="96"/>
      <c r="I7" s="96"/>
      <c r="J7" s="96"/>
      <c r="K7" s="96"/>
      <c r="L7" s="96"/>
      <c r="M7" s="96"/>
      <c r="N7" s="96"/>
    </row>
    <row r="8" spans="2:14">
      <c r="B8" s="96"/>
      <c r="C8" s="96"/>
      <c r="D8" s="96"/>
      <c r="E8" s="96"/>
      <c r="F8" s="96"/>
      <c r="G8" s="96"/>
      <c r="H8" s="96"/>
      <c r="I8" s="96"/>
      <c r="J8" s="96"/>
      <c r="K8" s="96"/>
      <c r="L8" s="96"/>
      <c r="M8" s="96"/>
      <c r="N8" s="96"/>
    </row>
    <row r="9" spans="2:14">
      <c r="B9" s="96"/>
      <c r="C9" s="96"/>
      <c r="D9" s="96"/>
      <c r="E9" s="96"/>
      <c r="F9" s="96"/>
      <c r="G9" s="96"/>
      <c r="H9" s="96"/>
      <c r="I9" s="96"/>
      <c r="J9" s="96"/>
      <c r="K9" s="96"/>
      <c r="L9" s="96"/>
      <c r="M9" s="96"/>
      <c r="N9" s="96"/>
    </row>
    <row r="10" spans="2:14">
      <c r="B10" s="96"/>
      <c r="C10" s="96"/>
      <c r="D10" s="96"/>
      <c r="E10" s="96"/>
      <c r="F10" s="96"/>
      <c r="G10" s="96"/>
      <c r="H10" s="96"/>
      <c r="I10" s="96"/>
      <c r="J10" s="96"/>
      <c r="K10" s="96"/>
      <c r="L10" s="96"/>
      <c r="M10" s="96"/>
      <c r="N10" s="96"/>
    </row>
    <row r="11" spans="2:14">
      <c r="B11" s="96"/>
      <c r="C11" s="96"/>
      <c r="D11" s="96"/>
      <c r="E11" s="96"/>
      <c r="F11" s="96"/>
      <c r="G11" s="96"/>
      <c r="H11" s="96"/>
      <c r="I11" s="96"/>
      <c r="J11" s="96"/>
      <c r="K11" s="96"/>
      <c r="L11" s="96"/>
      <c r="M11" s="96"/>
      <c r="N11" s="96"/>
    </row>
    <row r="12" spans="2:14">
      <c r="B12" s="96" t="s">
        <v>88</v>
      </c>
      <c r="C12" s="97"/>
      <c r="D12" s="97"/>
      <c r="E12" s="97"/>
      <c r="F12" s="97"/>
      <c r="G12" s="97"/>
      <c r="H12" s="97"/>
      <c r="I12" s="97"/>
      <c r="J12" s="97"/>
      <c r="K12" s="97"/>
      <c r="L12" s="97"/>
      <c r="M12" s="97"/>
      <c r="N12" s="97"/>
    </row>
    <row r="13" spans="2:14">
      <c r="B13" s="97"/>
      <c r="C13" s="97"/>
      <c r="D13" s="97"/>
      <c r="E13" s="97"/>
      <c r="F13" s="97"/>
      <c r="G13" s="97"/>
      <c r="H13" s="97"/>
      <c r="I13" s="97"/>
      <c r="J13" s="97"/>
      <c r="K13" s="97"/>
      <c r="L13" s="97"/>
      <c r="M13" s="97"/>
      <c r="N13" s="97"/>
    </row>
    <row r="14" spans="2:14">
      <c r="B14" s="97"/>
      <c r="C14" s="97"/>
      <c r="D14" s="97"/>
      <c r="E14" s="97"/>
      <c r="F14" s="97"/>
      <c r="G14" s="97"/>
      <c r="H14" s="97"/>
      <c r="I14" s="97"/>
      <c r="J14" s="97"/>
      <c r="K14" s="97"/>
      <c r="L14" s="97"/>
      <c r="M14" s="97"/>
      <c r="N14" s="97"/>
    </row>
    <row r="15" spans="2:14">
      <c r="B15" s="97"/>
      <c r="C15" s="97"/>
      <c r="D15" s="97"/>
      <c r="E15" s="97"/>
      <c r="F15" s="97"/>
      <c r="G15" s="97"/>
      <c r="H15" s="97"/>
      <c r="I15" s="97"/>
      <c r="J15" s="97"/>
      <c r="K15" s="97"/>
      <c r="L15" s="97"/>
      <c r="M15" s="97"/>
      <c r="N15" s="97"/>
    </row>
    <row r="16" spans="2:14">
      <c r="B16" s="96" t="s">
        <v>91</v>
      </c>
      <c r="C16" s="96"/>
      <c r="D16" s="96"/>
      <c r="E16" s="96"/>
      <c r="F16" s="96"/>
      <c r="G16" s="96"/>
      <c r="H16" s="96"/>
      <c r="I16" s="96"/>
      <c r="J16" s="96"/>
      <c r="K16" s="96"/>
      <c r="L16" s="96"/>
      <c r="M16" s="96"/>
      <c r="N16" s="96"/>
    </row>
    <row r="17" spans="2:14">
      <c r="B17" s="96"/>
      <c r="C17" s="96"/>
      <c r="D17" s="96"/>
      <c r="E17" s="96"/>
      <c r="F17" s="96"/>
      <c r="G17" s="96"/>
      <c r="H17" s="96"/>
      <c r="I17" s="96"/>
      <c r="J17" s="96"/>
      <c r="K17" s="96"/>
      <c r="L17" s="96"/>
      <c r="M17" s="96"/>
      <c r="N17" s="96"/>
    </row>
    <row r="18" spans="2:14">
      <c r="B18" s="96"/>
      <c r="C18" s="96"/>
      <c r="D18" s="96"/>
      <c r="E18" s="96"/>
      <c r="F18" s="96"/>
      <c r="G18" s="96"/>
      <c r="H18" s="96"/>
      <c r="I18" s="96"/>
      <c r="J18" s="96"/>
      <c r="K18" s="96"/>
      <c r="L18" s="96"/>
      <c r="M18" s="96"/>
      <c r="N18" s="96"/>
    </row>
    <row r="19" spans="2:14">
      <c r="B19" s="96"/>
      <c r="C19" s="96"/>
      <c r="D19" s="96"/>
      <c r="E19" s="96"/>
      <c r="F19" s="96"/>
      <c r="G19" s="96"/>
      <c r="H19" s="96"/>
      <c r="I19" s="96"/>
      <c r="J19" s="96"/>
      <c r="K19" s="96"/>
      <c r="L19" s="96"/>
      <c r="M19" s="96"/>
      <c r="N19" s="96"/>
    </row>
    <row r="20" spans="2:14" ht="15" customHeight="1">
      <c r="B20" s="96" t="s">
        <v>90</v>
      </c>
      <c r="C20" s="96"/>
      <c r="D20" s="96"/>
      <c r="E20" s="96"/>
      <c r="F20" s="96"/>
      <c r="G20" s="96"/>
      <c r="H20" s="96"/>
      <c r="I20" s="96"/>
      <c r="J20" s="96"/>
      <c r="K20" s="96"/>
      <c r="L20" s="96"/>
      <c r="M20" s="96"/>
      <c r="N20" s="96"/>
    </row>
    <row r="21" spans="2:14">
      <c r="B21" s="96"/>
      <c r="C21" s="96"/>
      <c r="D21" s="96"/>
      <c r="E21" s="96"/>
      <c r="F21" s="96"/>
      <c r="G21" s="96"/>
      <c r="H21" s="96"/>
      <c r="I21" s="96"/>
      <c r="J21" s="96"/>
      <c r="K21" s="96"/>
      <c r="L21" s="96"/>
      <c r="M21" s="96"/>
      <c r="N21" s="96"/>
    </row>
    <row r="22" spans="2:14">
      <c r="B22" s="96"/>
      <c r="C22" s="96"/>
      <c r="D22" s="96"/>
      <c r="E22" s="96"/>
      <c r="F22" s="96"/>
      <c r="G22" s="96"/>
      <c r="H22" s="96"/>
      <c r="I22" s="96"/>
      <c r="J22" s="96"/>
      <c r="K22" s="96"/>
      <c r="L22" s="96"/>
      <c r="M22" s="96"/>
      <c r="N22" s="96"/>
    </row>
    <row r="23" spans="2:14">
      <c r="B23" s="96"/>
      <c r="C23" s="96"/>
      <c r="D23" s="96"/>
      <c r="E23" s="96"/>
      <c r="F23" s="96"/>
      <c r="G23" s="96"/>
      <c r="H23" s="96"/>
      <c r="I23" s="96"/>
      <c r="J23" s="96"/>
      <c r="K23" s="96"/>
      <c r="L23" s="96"/>
      <c r="M23" s="96"/>
      <c r="N23" s="96"/>
    </row>
    <row r="24" spans="2:14">
      <c r="B24" s="96"/>
      <c r="C24" s="96"/>
      <c r="D24" s="96"/>
      <c r="E24" s="96"/>
      <c r="F24" s="96"/>
      <c r="G24" s="96"/>
      <c r="H24" s="96"/>
      <c r="I24" s="96"/>
      <c r="J24" s="96"/>
      <c r="K24" s="96"/>
      <c r="L24" s="96"/>
      <c r="M24" s="96"/>
      <c r="N24" s="96"/>
    </row>
    <row r="25" spans="2:14">
      <c r="B25" s="96"/>
      <c r="C25" s="96"/>
      <c r="D25" s="96"/>
      <c r="E25" s="96"/>
      <c r="F25" s="96"/>
      <c r="G25" s="96"/>
      <c r="H25" s="96"/>
      <c r="I25" s="96"/>
      <c r="J25" s="96"/>
      <c r="K25" s="96"/>
      <c r="L25" s="96"/>
      <c r="M25" s="96"/>
      <c r="N25" s="96"/>
    </row>
    <row r="26" spans="2:14">
      <c r="B26" s="96"/>
      <c r="C26" s="96"/>
      <c r="D26" s="96"/>
      <c r="E26" s="96"/>
      <c r="F26" s="96"/>
      <c r="G26" s="96"/>
      <c r="H26" s="96"/>
      <c r="I26" s="96"/>
      <c r="J26" s="96"/>
      <c r="K26" s="96"/>
      <c r="L26" s="96"/>
      <c r="M26" s="96"/>
      <c r="N26" s="96"/>
    </row>
    <row r="27" spans="2:14">
      <c r="B27" s="96"/>
      <c r="C27" s="96"/>
      <c r="D27" s="96"/>
      <c r="E27" s="96"/>
      <c r="F27" s="96"/>
      <c r="G27" s="96"/>
      <c r="H27" s="96"/>
      <c r="I27" s="96"/>
      <c r="J27" s="96"/>
      <c r="K27" s="96"/>
      <c r="L27" s="96"/>
      <c r="M27" s="96"/>
      <c r="N27" s="96"/>
    </row>
    <row r="28" spans="2:14">
      <c r="B28" s="96"/>
      <c r="C28" s="96"/>
      <c r="D28" s="96"/>
      <c r="E28" s="96"/>
      <c r="F28" s="96"/>
      <c r="G28" s="96"/>
      <c r="H28" s="96"/>
      <c r="I28" s="96"/>
      <c r="J28" s="96"/>
      <c r="K28" s="96"/>
      <c r="L28" s="96"/>
      <c r="M28" s="96"/>
      <c r="N28" s="96"/>
    </row>
    <row r="29" spans="2:14">
      <c r="B29" s="96" t="s">
        <v>93</v>
      </c>
      <c r="C29" s="97"/>
      <c r="D29" s="97"/>
      <c r="E29" s="97"/>
      <c r="F29" s="97"/>
      <c r="G29" s="97"/>
      <c r="H29" s="97"/>
      <c r="I29" s="97"/>
      <c r="J29" s="97"/>
      <c r="K29" s="97"/>
      <c r="L29" s="97"/>
      <c r="M29" s="97"/>
      <c r="N29" s="97"/>
    </row>
    <row r="30" spans="2:14">
      <c r="B30" s="97"/>
      <c r="C30" s="97"/>
      <c r="D30" s="97"/>
      <c r="E30" s="97"/>
      <c r="F30" s="97"/>
      <c r="G30" s="97"/>
      <c r="H30" s="97"/>
      <c r="I30" s="97"/>
      <c r="J30" s="97"/>
      <c r="K30" s="97"/>
      <c r="L30" s="97"/>
      <c r="M30" s="97"/>
      <c r="N30" s="97"/>
    </row>
    <row r="31" spans="2:14">
      <c r="B31" s="97"/>
      <c r="C31" s="97"/>
      <c r="D31" s="97"/>
      <c r="E31" s="97"/>
      <c r="F31" s="97"/>
      <c r="G31" s="97"/>
      <c r="H31" s="97"/>
      <c r="I31" s="97"/>
      <c r="J31" s="97"/>
      <c r="K31" s="97"/>
      <c r="L31" s="97"/>
      <c r="M31" s="97"/>
      <c r="N31" s="97"/>
    </row>
    <row r="32" spans="2:14">
      <c r="B32" s="97"/>
      <c r="C32" s="97"/>
      <c r="D32" s="97"/>
      <c r="E32" s="97"/>
      <c r="F32" s="97"/>
      <c r="G32" s="97"/>
      <c r="H32" s="97"/>
      <c r="I32" s="97"/>
      <c r="J32" s="97"/>
      <c r="K32" s="97"/>
      <c r="L32" s="97"/>
      <c r="M32" s="97"/>
      <c r="N32" s="97"/>
    </row>
    <row r="33" spans="2:14">
      <c r="B33" s="97"/>
      <c r="C33" s="97"/>
      <c r="D33" s="97"/>
      <c r="E33" s="97"/>
      <c r="F33" s="97"/>
      <c r="G33" s="97"/>
      <c r="H33" s="97"/>
      <c r="I33" s="97"/>
      <c r="J33" s="97"/>
      <c r="K33" s="97"/>
      <c r="L33" s="97"/>
      <c r="M33" s="97"/>
      <c r="N33" s="97"/>
    </row>
    <row r="34" spans="2:14">
      <c r="B34" s="97"/>
      <c r="C34" s="97"/>
      <c r="D34" s="97"/>
      <c r="E34" s="97"/>
      <c r="F34" s="97"/>
      <c r="G34" s="97"/>
      <c r="H34" s="97"/>
      <c r="I34" s="97"/>
      <c r="J34" s="97"/>
      <c r="K34" s="97"/>
      <c r="L34" s="97"/>
      <c r="M34" s="97"/>
      <c r="N34" s="97"/>
    </row>
    <row r="35" spans="2:14">
      <c r="B35" s="97"/>
      <c r="C35" s="97"/>
      <c r="D35" s="97"/>
      <c r="E35" s="97"/>
      <c r="F35" s="97"/>
      <c r="G35" s="97"/>
      <c r="H35" s="97"/>
      <c r="I35" s="97"/>
      <c r="J35" s="97"/>
      <c r="K35" s="97"/>
      <c r="L35" s="97"/>
      <c r="M35" s="97"/>
      <c r="N35" s="97"/>
    </row>
    <row r="36" spans="2:14">
      <c r="B36" s="97"/>
      <c r="C36" s="97"/>
      <c r="D36" s="97"/>
      <c r="E36" s="97"/>
      <c r="F36" s="97"/>
      <c r="G36" s="97"/>
      <c r="H36" s="97"/>
      <c r="I36" s="97"/>
      <c r="J36" s="97"/>
      <c r="K36" s="97"/>
      <c r="L36" s="97"/>
      <c r="M36" s="97"/>
      <c r="N36" s="97"/>
    </row>
    <row r="37" spans="2:14">
      <c r="B37" s="97"/>
      <c r="C37" s="97"/>
      <c r="D37" s="97"/>
      <c r="E37" s="97"/>
      <c r="F37" s="97"/>
      <c r="G37" s="97"/>
      <c r="H37" s="97"/>
      <c r="I37" s="97"/>
      <c r="J37" s="97"/>
      <c r="K37" s="97"/>
      <c r="L37" s="97"/>
      <c r="M37" s="97"/>
      <c r="N37" s="97"/>
    </row>
    <row r="38" spans="2:14">
      <c r="B38" s="97"/>
      <c r="C38" s="97"/>
      <c r="D38" s="97"/>
      <c r="E38" s="97"/>
      <c r="F38" s="97"/>
      <c r="G38" s="97"/>
      <c r="H38" s="97"/>
      <c r="I38" s="97"/>
      <c r="J38" s="97"/>
      <c r="K38" s="97"/>
      <c r="L38" s="97"/>
      <c r="M38" s="97"/>
      <c r="N38" s="97"/>
    </row>
    <row r="39" spans="2:14">
      <c r="B39" s="97"/>
      <c r="C39" s="97"/>
      <c r="D39" s="97"/>
      <c r="E39" s="97"/>
      <c r="F39" s="97"/>
      <c r="G39" s="97"/>
      <c r="H39" s="97"/>
      <c r="I39" s="97"/>
      <c r="J39" s="97"/>
      <c r="K39" s="97"/>
      <c r="L39" s="97"/>
      <c r="M39" s="97"/>
      <c r="N39" s="97"/>
    </row>
    <row r="40" spans="2:14">
      <c r="B40" s="97"/>
      <c r="C40" s="97"/>
      <c r="D40" s="97"/>
      <c r="E40" s="97"/>
      <c r="F40" s="97"/>
      <c r="G40" s="97"/>
      <c r="H40" s="97"/>
      <c r="I40" s="97"/>
      <c r="J40" s="97"/>
      <c r="K40" s="97"/>
      <c r="L40" s="97"/>
      <c r="M40" s="97"/>
      <c r="N40" s="97"/>
    </row>
    <row r="41" spans="2:14">
      <c r="B41" s="97"/>
      <c r="C41" s="97"/>
      <c r="D41" s="97"/>
      <c r="E41" s="97"/>
      <c r="F41" s="97"/>
      <c r="G41" s="97"/>
      <c r="H41" s="97"/>
      <c r="I41" s="97"/>
      <c r="J41" s="97"/>
      <c r="K41" s="97"/>
      <c r="L41" s="97"/>
      <c r="M41" s="97"/>
      <c r="N41" s="97"/>
    </row>
    <row r="42" spans="2:14">
      <c r="B42" s="97"/>
      <c r="C42" s="97"/>
      <c r="D42" s="97"/>
      <c r="E42" s="97"/>
      <c r="F42" s="97"/>
      <c r="G42" s="97"/>
      <c r="H42" s="97"/>
      <c r="I42" s="97"/>
      <c r="J42" s="97"/>
      <c r="K42" s="97"/>
      <c r="L42" s="97"/>
      <c r="M42" s="97"/>
      <c r="N42" s="97"/>
    </row>
    <row r="43" spans="2:14">
      <c r="B43" s="97"/>
      <c r="C43" s="97"/>
      <c r="D43" s="97"/>
      <c r="E43" s="97"/>
      <c r="F43" s="97"/>
      <c r="G43" s="97"/>
      <c r="H43" s="97"/>
      <c r="I43" s="97"/>
      <c r="J43" s="97"/>
      <c r="K43" s="97"/>
      <c r="L43" s="97"/>
      <c r="M43" s="97"/>
      <c r="N43" s="97"/>
    </row>
    <row r="44" spans="2:14">
      <c r="B44" s="97"/>
      <c r="C44" s="97"/>
      <c r="D44" s="97"/>
      <c r="E44" s="97"/>
      <c r="F44" s="97"/>
      <c r="G44" s="97"/>
      <c r="H44" s="97"/>
      <c r="I44" s="97"/>
      <c r="J44" s="97"/>
      <c r="K44" s="97"/>
      <c r="L44" s="97"/>
      <c r="M44" s="97"/>
      <c r="N44" s="97"/>
    </row>
    <row r="45" spans="2:14">
      <c r="B45" s="97"/>
      <c r="C45" s="97"/>
      <c r="D45" s="97"/>
      <c r="E45" s="97"/>
      <c r="F45" s="97"/>
      <c r="G45" s="97"/>
      <c r="H45" s="97"/>
      <c r="I45" s="97"/>
      <c r="J45" s="97"/>
      <c r="K45" s="97"/>
      <c r="L45" s="97"/>
      <c r="M45" s="97"/>
      <c r="N45" s="97"/>
    </row>
    <row r="46" spans="2:14">
      <c r="B46" s="97"/>
      <c r="C46" s="97"/>
      <c r="D46" s="97"/>
      <c r="E46" s="97"/>
      <c r="F46" s="97"/>
      <c r="G46" s="97"/>
      <c r="H46" s="97"/>
      <c r="I46" s="97"/>
      <c r="J46" s="97"/>
      <c r="K46" s="97"/>
      <c r="L46" s="97"/>
      <c r="M46" s="97"/>
      <c r="N46" s="97"/>
    </row>
    <row r="47" spans="2:14">
      <c r="B47" s="97"/>
      <c r="C47" s="97"/>
      <c r="D47" s="97"/>
      <c r="E47" s="97"/>
      <c r="F47" s="97"/>
      <c r="G47" s="97"/>
      <c r="H47" s="97"/>
      <c r="I47" s="97"/>
      <c r="J47" s="97"/>
      <c r="K47" s="97"/>
      <c r="L47" s="97"/>
      <c r="M47" s="97"/>
      <c r="N47" s="97"/>
    </row>
    <row r="48" spans="2:14">
      <c r="B48" s="97"/>
      <c r="C48" s="97"/>
      <c r="D48" s="97"/>
      <c r="E48" s="97"/>
      <c r="F48" s="97"/>
      <c r="G48" s="97"/>
      <c r="H48" s="97"/>
      <c r="I48" s="97"/>
      <c r="J48" s="97"/>
      <c r="K48" s="97"/>
      <c r="L48" s="97"/>
      <c r="M48" s="97"/>
      <c r="N48" s="97"/>
    </row>
    <row r="49" spans="2:14">
      <c r="B49" s="97"/>
      <c r="C49" s="97"/>
      <c r="D49" s="97"/>
      <c r="E49" s="97"/>
      <c r="F49" s="97"/>
      <c r="G49" s="97"/>
      <c r="H49" s="97"/>
      <c r="I49" s="97"/>
      <c r="J49" s="97"/>
      <c r="K49" s="97"/>
      <c r="L49" s="97"/>
      <c r="M49" s="97"/>
      <c r="N49" s="97"/>
    </row>
    <row r="50" spans="2:14" ht="15" customHeight="1">
      <c r="B50" s="96" t="s">
        <v>92</v>
      </c>
      <c r="C50" s="96"/>
      <c r="D50" s="96"/>
      <c r="E50" s="96"/>
      <c r="F50" s="96"/>
      <c r="G50" s="96"/>
      <c r="H50" s="96"/>
      <c r="I50" s="96"/>
      <c r="J50" s="96"/>
      <c r="K50" s="96"/>
      <c r="L50" s="96"/>
      <c r="M50" s="96"/>
      <c r="N50" s="96"/>
    </row>
    <row r="51" spans="2:14">
      <c r="B51" s="96"/>
      <c r="C51" s="96"/>
      <c r="D51" s="96"/>
      <c r="E51" s="96"/>
      <c r="F51" s="96"/>
      <c r="G51" s="96"/>
      <c r="H51" s="96"/>
      <c r="I51" s="96"/>
      <c r="J51" s="96"/>
      <c r="K51" s="96"/>
      <c r="L51" s="96"/>
      <c r="M51" s="96"/>
      <c r="N51" s="96"/>
    </row>
    <row r="52" spans="2:14">
      <c r="B52" s="96"/>
      <c r="C52" s="96"/>
      <c r="D52" s="96"/>
      <c r="E52" s="96"/>
      <c r="F52" s="96"/>
      <c r="G52" s="96"/>
      <c r="H52" s="96"/>
      <c r="I52" s="96"/>
      <c r="J52" s="96"/>
      <c r="K52" s="96"/>
      <c r="L52" s="96"/>
      <c r="M52" s="96"/>
      <c r="N52" s="96"/>
    </row>
    <row r="53" spans="2:14">
      <c r="B53" s="96"/>
      <c r="C53" s="96"/>
      <c r="D53" s="96"/>
      <c r="E53" s="96"/>
      <c r="F53" s="96"/>
      <c r="G53" s="96"/>
      <c r="H53" s="96"/>
      <c r="I53" s="96"/>
      <c r="J53" s="96"/>
      <c r="K53" s="96"/>
      <c r="L53" s="96"/>
      <c r="M53" s="96"/>
      <c r="N53" s="96"/>
    </row>
    <row r="54" spans="2:14">
      <c r="B54" s="96"/>
      <c r="C54" s="96"/>
      <c r="D54" s="96"/>
      <c r="E54" s="96"/>
      <c r="F54" s="96"/>
      <c r="G54" s="96"/>
      <c r="H54" s="96"/>
      <c r="I54" s="96"/>
      <c r="J54" s="96"/>
      <c r="K54" s="96"/>
      <c r="L54" s="96"/>
      <c r="M54" s="96"/>
      <c r="N54" s="96"/>
    </row>
    <row r="55" spans="2:14">
      <c r="B55" s="96"/>
      <c r="C55" s="96"/>
      <c r="D55" s="96"/>
      <c r="E55" s="96"/>
      <c r="F55" s="96"/>
      <c r="G55" s="96"/>
      <c r="H55" s="96"/>
      <c r="I55" s="96"/>
      <c r="J55" s="96"/>
      <c r="K55" s="96"/>
      <c r="L55" s="96"/>
      <c r="M55" s="96"/>
      <c r="N55" s="96"/>
    </row>
    <row r="56" spans="2:14">
      <c r="B56" s="96"/>
      <c r="C56" s="96"/>
      <c r="D56" s="96"/>
      <c r="E56" s="96"/>
      <c r="F56" s="96"/>
      <c r="G56" s="96"/>
      <c r="H56" s="96"/>
      <c r="I56" s="96"/>
      <c r="J56" s="96"/>
      <c r="K56" s="96"/>
      <c r="L56" s="96"/>
      <c r="M56" s="96"/>
      <c r="N56" s="96"/>
    </row>
    <row r="57" spans="2:14">
      <c r="B57" s="96"/>
      <c r="C57" s="96"/>
      <c r="D57" s="96"/>
      <c r="E57" s="96"/>
      <c r="F57" s="96"/>
      <c r="G57" s="96"/>
      <c r="H57" s="96"/>
      <c r="I57" s="96"/>
      <c r="J57" s="96"/>
      <c r="K57" s="96"/>
      <c r="L57" s="96"/>
      <c r="M57" s="96"/>
      <c r="N57" s="96"/>
    </row>
    <row r="58" spans="2:14" ht="15" customHeight="1">
      <c r="B58" s="96" t="s">
        <v>15</v>
      </c>
      <c r="C58" s="96"/>
      <c r="D58" s="96"/>
      <c r="E58" s="96"/>
      <c r="F58" s="96"/>
      <c r="G58" s="96"/>
      <c r="H58" s="96"/>
      <c r="I58" s="96"/>
      <c r="J58" s="96"/>
      <c r="K58" s="96"/>
      <c r="L58" s="96"/>
      <c r="M58" s="96"/>
      <c r="N58" s="96"/>
    </row>
    <row r="59" spans="2:14" ht="15" customHeight="1">
      <c r="B59" s="96"/>
      <c r="C59" s="96"/>
      <c r="D59" s="96"/>
      <c r="E59" s="96"/>
      <c r="F59" s="96"/>
      <c r="G59" s="96"/>
      <c r="H59" s="96"/>
      <c r="I59" s="96"/>
      <c r="J59" s="96"/>
      <c r="K59" s="96"/>
      <c r="L59" s="96"/>
      <c r="M59" s="96"/>
      <c r="N59" s="96"/>
    </row>
    <row r="60" spans="2:14" ht="15" customHeight="1">
      <c r="B60" s="96"/>
      <c r="C60" s="96"/>
      <c r="D60" s="96"/>
      <c r="E60" s="96"/>
      <c r="F60" s="96"/>
      <c r="G60" s="96"/>
      <c r="H60" s="96"/>
      <c r="I60" s="96"/>
      <c r="J60" s="96"/>
      <c r="K60" s="96"/>
      <c r="L60" s="96"/>
      <c r="M60" s="96"/>
      <c r="N60" s="96"/>
    </row>
    <row r="61" spans="2:14" ht="15" customHeight="1">
      <c r="B61" s="96" t="s">
        <v>94</v>
      </c>
      <c r="C61" s="96"/>
      <c r="D61" s="96"/>
      <c r="E61" s="96"/>
      <c r="F61" s="96"/>
      <c r="G61" s="96"/>
      <c r="H61" s="63"/>
      <c r="I61" s="96" t="s">
        <v>16</v>
      </c>
      <c r="J61" s="96"/>
      <c r="K61" s="96"/>
      <c r="L61" s="96"/>
      <c r="M61" s="96"/>
      <c r="N61" s="96"/>
    </row>
    <row r="62" spans="2:14">
      <c r="B62" s="96"/>
      <c r="C62" s="96"/>
      <c r="D62" s="96"/>
      <c r="E62" s="96"/>
      <c r="F62" s="96"/>
      <c r="G62" s="96"/>
      <c r="H62" s="63"/>
      <c r="I62" s="96"/>
      <c r="J62" s="96"/>
      <c r="K62" s="96"/>
      <c r="L62" s="96"/>
      <c r="M62" s="96"/>
      <c r="N62" s="96"/>
    </row>
    <row r="63" spans="2:14">
      <c r="B63" s="96"/>
      <c r="C63" s="96"/>
      <c r="D63" s="96"/>
      <c r="E63" s="96"/>
      <c r="F63" s="96"/>
      <c r="G63" s="96"/>
      <c r="H63" s="63"/>
      <c r="I63" s="96"/>
      <c r="J63" s="96"/>
      <c r="K63" s="96"/>
      <c r="L63" s="96"/>
      <c r="M63" s="96"/>
      <c r="N63" s="96"/>
    </row>
    <row r="64" spans="2:14">
      <c r="B64" s="96"/>
      <c r="C64" s="96"/>
      <c r="D64" s="96"/>
      <c r="E64" s="96"/>
      <c r="F64" s="96"/>
      <c r="G64" s="96"/>
      <c r="H64" s="63"/>
      <c r="I64" s="96"/>
      <c r="J64" s="96"/>
      <c r="K64" s="96"/>
      <c r="L64" s="96"/>
      <c r="M64" s="96"/>
      <c r="N64" s="96"/>
    </row>
    <row r="65" spans="2:14">
      <c r="B65" s="96"/>
      <c r="C65" s="96"/>
      <c r="D65" s="96"/>
      <c r="E65" s="96"/>
      <c r="F65" s="96"/>
      <c r="G65" s="96"/>
      <c r="H65" s="63"/>
      <c r="I65" s="96"/>
      <c r="J65" s="96"/>
      <c r="K65" s="96"/>
      <c r="L65" s="96"/>
      <c r="M65" s="96"/>
      <c r="N65" s="96"/>
    </row>
    <row r="66" spans="2:14">
      <c r="B66" s="96"/>
      <c r="C66" s="96"/>
      <c r="D66" s="96"/>
      <c r="E66" s="96"/>
      <c r="F66" s="96"/>
      <c r="G66" s="96"/>
      <c r="H66" s="63"/>
      <c r="I66" s="96"/>
      <c r="J66" s="96"/>
      <c r="K66" s="96"/>
      <c r="L66" s="96"/>
      <c r="M66" s="96"/>
      <c r="N66" s="96"/>
    </row>
    <row r="67" spans="2:14">
      <c r="B67" s="96"/>
      <c r="C67" s="96"/>
      <c r="D67" s="96"/>
      <c r="E67" s="96"/>
      <c r="F67" s="96"/>
      <c r="G67" s="96"/>
      <c r="H67" s="63"/>
      <c r="I67" s="96"/>
      <c r="J67" s="96"/>
      <c r="K67" s="96"/>
      <c r="L67" s="96"/>
      <c r="M67" s="96"/>
      <c r="N67" s="96"/>
    </row>
    <row r="68" spans="2:14"/>
    <row r="69" spans="2:14" hidden="1"/>
    <row r="70" spans="2:14" hidden="1"/>
    <row r="71" spans="2:14" hidden="1"/>
    <row r="72" spans="2:14" hidden="1"/>
    <row r="73" spans="2:14" hidden="1"/>
    <row r="74" spans="2:14" hidden="1"/>
    <row r="75" spans="2:14" hidden="1"/>
    <row r="76" spans="2:14" hidden="1"/>
    <row r="77" spans="2:14" hidden="1"/>
    <row r="78" spans="2:14" hidden="1"/>
    <row r="79" spans="2:14" hidden="1"/>
    <row r="80" spans="2:14" hidden="1"/>
    <row r="81" hidden="1"/>
    <row r="82" hidden="1"/>
    <row r="83" hidden="1"/>
    <row r="84" hidden="1"/>
    <row r="85" hidden="1"/>
  </sheetData>
  <sheetProtection password="C5AA" sheet="1" objects="1" scenarios="1"/>
  <mergeCells count="10">
    <mergeCell ref="B3:H3"/>
    <mergeCell ref="B29:N49"/>
    <mergeCell ref="B50:N57"/>
    <mergeCell ref="B58:N60"/>
    <mergeCell ref="B61:G67"/>
    <mergeCell ref="I61:N67"/>
    <mergeCell ref="B6:N11"/>
    <mergeCell ref="B12:N15"/>
    <mergeCell ref="B20:N28"/>
    <mergeCell ref="B16:N19"/>
  </mergeCells>
  <pageMargins left="0.25" right="0.25"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E31"/>
  <sheetViews>
    <sheetView showRowColHeaders="0" workbookViewId="0">
      <pane xSplit="3" ySplit="5" topLeftCell="D6" activePane="bottomRight" state="frozen"/>
      <selection pane="topRight" activeCell="D1" sqref="D1"/>
      <selection pane="bottomLeft" activeCell="A6" sqref="A6"/>
      <selection pane="bottomRight" activeCell="M12" sqref="M12"/>
    </sheetView>
  </sheetViews>
  <sheetFormatPr defaultColWidth="0" defaultRowHeight="15" zeroHeight="1"/>
  <cols>
    <col min="1" max="1" width="2.28515625" style="3" customWidth="1"/>
    <col min="2" max="2" width="4.28515625" style="24" bestFit="1" customWidth="1"/>
    <col min="3" max="3" width="20.5703125" style="3" bestFit="1" customWidth="1"/>
    <col min="4" max="4" width="9" style="3" bestFit="1" customWidth="1"/>
    <col min="5" max="5" width="12.28515625" style="3" hidden="1" customWidth="1"/>
    <col min="6" max="6" width="11.85546875" style="3" customWidth="1"/>
    <col min="7" max="7" width="9.5703125" style="3" customWidth="1"/>
    <col min="8" max="8" width="12.28515625" style="3" bestFit="1" customWidth="1"/>
    <col min="9" max="9" width="10.7109375" style="17" customWidth="1"/>
    <col min="10" max="10" width="15.42578125" style="17" hidden="1" customWidth="1"/>
    <col min="11" max="11" width="11.5703125" style="17" hidden="1" customWidth="1"/>
    <col min="12" max="12" width="11.5703125" style="17" customWidth="1"/>
    <col min="13" max="13" width="11.140625" style="3" bestFit="1" customWidth="1"/>
    <col min="14" max="14" width="10.42578125" style="3" bestFit="1" customWidth="1"/>
    <col min="15" max="15" width="12.85546875" style="17" bestFit="1" customWidth="1"/>
    <col min="16" max="16" width="14.5703125" style="17" hidden="1" customWidth="1"/>
    <col min="17" max="17" width="14.5703125" style="17" bestFit="1" customWidth="1"/>
    <col min="18" max="18" width="12.85546875" style="3" bestFit="1" customWidth="1"/>
    <col min="19" max="19" width="10.42578125" style="3" bestFit="1" customWidth="1"/>
    <col min="20" max="20" width="13.42578125" style="3" bestFit="1" customWidth="1"/>
    <col min="21" max="21" width="15.140625" style="3" bestFit="1" customWidth="1"/>
    <col min="22" max="22" width="14" style="3" bestFit="1" customWidth="1"/>
    <col min="23" max="23" width="11.85546875" style="3" bestFit="1" customWidth="1"/>
    <col min="24" max="24" width="14.140625" style="3" bestFit="1" customWidth="1"/>
    <col min="25" max="25" width="10.140625" style="3" bestFit="1" customWidth="1"/>
    <col min="26" max="26" width="5.140625" style="3" customWidth="1"/>
    <col min="27" max="29" width="10.140625" style="3" hidden="1" customWidth="1"/>
    <col min="30" max="30" width="11.140625" style="3" hidden="1" customWidth="1"/>
    <col min="31" max="31" width="2.85546875" style="3" hidden="1" customWidth="1"/>
    <col min="32" max="16384" width="9.140625" style="3" hidden="1"/>
  </cols>
  <sheetData>
    <row r="1" spans="2:29" s="2" customFormat="1">
      <c r="B1" s="23"/>
      <c r="I1" s="16"/>
      <c r="J1" s="16"/>
      <c r="K1" s="16"/>
      <c r="L1" s="16"/>
      <c r="O1" s="16"/>
      <c r="P1" s="16"/>
      <c r="Q1" s="16"/>
    </row>
    <row r="2" spans="2:29" ht="21">
      <c r="D2" s="98" t="s">
        <v>18</v>
      </c>
      <c r="E2" s="98"/>
      <c r="F2" s="98"/>
      <c r="G2" s="98"/>
    </row>
    <row r="3" spans="2:29">
      <c r="C3" s="4"/>
      <c r="D3" s="5"/>
      <c r="E3" s="5"/>
    </row>
    <row r="4" spans="2:29" s="2" customFormat="1">
      <c r="B4" s="23"/>
      <c r="D4" s="5"/>
      <c r="E4" s="5"/>
      <c r="I4" s="16"/>
      <c r="J4" s="16"/>
      <c r="K4" s="16"/>
      <c r="L4" s="16"/>
      <c r="M4" s="3"/>
      <c r="N4" s="3"/>
      <c r="O4" s="17"/>
      <c r="P4" s="17"/>
      <c r="Q4" s="17"/>
      <c r="R4" s="3"/>
      <c r="S4" s="3"/>
      <c r="T4" s="3"/>
      <c r="U4" s="3"/>
      <c r="V4" s="3"/>
      <c r="W4" s="3"/>
      <c r="X4" s="3"/>
      <c r="Y4" s="3"/>
      <c r="Z4" s="3"/>
      <c r="AA4" s="3"/>
      <c r="AB4" s="3"/>
      <c r="AC4" s="3"/>
    </row>
    <row r="5" spans="2:29" s="2" customFormat="1" ht="90">
      <c r="B5" s="25" t="s">
        <v>2</v>
      </c>
      <c r="C5" s="26" t="s">
        <v>19</v>
      </c>
      <c r="D5" s="26" t="s">
        <v>37</v>
      </c>
      <c r="E5" s="27" t="s">
        <v>20</v>
      </c>
      <c r="F5" s="26" t="s">
        <v>35</v>
      </c>
      <c r="G5" s="26" t="s">
        <v>32</v>
      </c>
      <c r="H5" s="26" t="s">
        <v>33</v>
      </c>
      <c r="I5" s="28" t="s">
        <v>34</v>
      </c>
      <c r="J5" s="28" t="s">
        <v>76</v>
      </c>
      <c r="K5" s="28" t="s">
        <v>36</v>
      </c>
      <c r="L5" s="28" t="s">
        <v>57</v>
      </c>
      <c r="M5" s="26" t="s">
        <v>0</v>
      </c>
      <c r="N5" s="26" t="s">
        <v>39</v>
      </c>
      <c r="O5" s="28" t="s">
        <v>40</v>
      </c>
      <c r="P5" s="28" t="s">
        <v>58</v>
      </c>
      <c r="Q5" s="28" t="s">
        <v>59</v>
      </c>
      <c r="R5" s="26" t="s">
        <v>51</v>
      </c>
      <c r="S5" s="26" t="s">
        <v>53</v>
      </c>
      <c r="T5" s="26" t="s">
        <v>75</v>
      </c>
      <c r="U5" s="27" t="s">
        <v>38</v>
      </c>
      <c r="V5" s="27" t="s">
        <v>41</v>
      </c>
      <c r="W5" s="27" t="s">
        <v>56</v>
      </c>
      <c r="X5" s="27" t="s">
        <v>42</v>
      </c>
      <c r="Y5" s="29" t="s">
        <v>55</v>
      </c>
    </row>
    <row r="6" spans="2:29" s="85" customFormat="1">
      <c r="B6" s="75" t="str">
        <f>IF(Table3[[#This Row],[Boiler Code
'[Identity']]]=C5,"",IF(Table3[[#This Row],[Boiler Code
'[Identity']]]=0,"",ROW(Table3[[#This Row],[Boiler Code
'[Identity']]])-ROW(Table3[[#Headers],[Boiler Code
'[Identity']]])))</f>
        <v/>
      </c>
      <c r="C6" s="76"/>
      <c r="D6" s="76"/>
      <c r="E6" s="77"/>
      <c r="F6" s="78"/>
      <c r="G6" s="79"/>
      <c r="H6" s="76"/>
      <c r="I6" s="80">
        <f>IF(Table3[[#This Row],[Steam Pressure
'[bar']]]&gt;0,VLOOKUP(Table3[[#This Row],[Steam Pressure
'[bar']]],Table327[],3,TRUE),0)</f>
        <v>0</v>
      </c>
      <c r="J6" s="80">
        <f>(Table3[[#This Row],[Specific Enthalpy of Steam
'[kJ/kg']]]/1000)*0.00094708628903179*1000</f>
        <v>0</v>
      </c>
      <c r="K6"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6" s="80">
        <f>Table3[[#This Row],[Calculated Steam Production
'[Ton/h']]]*Table3[[#This Row],[Annual Operation
'[hrs/y']]]</f>
        <v>0</v>
      </c>
      <c r="M6" s="81"/>
      <c r="N6" s="76"/>
      <c r="O6" s="80">
        <f>IF(Table3[[#This Row],[Feed Water Temperature
'[⁰C']]]&gt;0,VLOOKUP(Table3[[#This Row],[Feed Water Temperature
'[⁰C']]],Table426[],4,TRUE),0)</f>
        <v>0</v>
      </c>
      <c r="P6" s="82">
        <f>(Table3[[#This Row],[Enthalpy of Feed Water
'[kJ/kg']]]/1000)*0.00094708628903179*1000</f>
        <v>0</v>
      </c>
      <c r="Q6" s="80">
        <f>(Table3[[#This Row],[Specific Enthalpy of Steam
'[mmBtu/Ton']]]-Table3[[#This Row],[Enthalpy of Feed Water
'[mmBtu/Ton']]])*Table3[[#This Row],[Calculated Steam Production
'[Ton/h']]]*Table3[[#This Row],[Annual Operation
'[hrs/y']]]</f>
        <v>0</v>
      </c>
      <c r="R6" s="76"/>
      <c r="S6" s="76"/>
      <c r="T6" s="78"/>
      <c r="U6" s="83" t="str">
        <f>IF(Table3[[#This Row],[Annual Fuel Consumption
'[mmbtu/y']]]=0,"",Table3[[#This Row],[Annual Fuel Consumption
'[mmbtu/y']]]/(Table3[[#This Row],[Calculated Steam Production
'[Ton/h']]]*Table3[[#This Row],[Annual Operation
'[hrs/y']]]))</f>
        <v/>
      </c>
      <c r="V6" s="83" t="str">
        <f>IF(Table3[[#This Row],[Annual Operation
'[hrs/y']]]=0,"",Table3[[#This Row],[Annual Fuel Consumption
'[mmbtu/y']]]/Table3[[#This Row],[Annual Operation
'[hrs/y']]])</f>
        <v/>
      </c>
      <c r="W6" s="83">
        <f>Table3[[#This Row],[Annual Fuel Consumption
'[mmbtu/y']]]*Table3[[#This Row],[Fuel Price '[PKR/ mmbtu']]]/1000000</f>
        <v>0</v>
      </c>
      <c r="X6" s="83">
        <f>IF(Table3[[#This Row],[Calculated Steam Production
'[Ton/y']]]=0,0,Table3[[#This Row],[Total Energy Cost
'[MPKR/y']]]*1000000/Table3[[#This Row],[Calculated Steam Production
'[Ton/y']]])</f>
        <v>0</v>
      </c>
      <c r="Y6"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7" spans="2:29" s="85" customFormat="1">
      <c r="B7" s="75" t="str">
        <f>IF(Table3[[#This Row],[Boiler Code
'[Identity']]]=C6,"",IF(Table3[[#This Row],[Boiler Code
'[Identity']]]=0,"",ROW(Table3[[#This Row],[Boiler Code
'[Identity']]])-ROW(Table3[[#Headers],[Boiler Code
'[Identity']]])))</f>
        <v/>
      </c>
      <c r="C7" s="76"/>
      <c r="D7" s="76"/>
      <c r="E7" s="77">
        <f>Table3[[#This Row],[Boiler Heating Surface Area
'[m²']]]*10</f>
        <v>0</v>
      </c>
      <c r="F7" s="78"/>
      <c r="G7" s="79"/>
      <c r="H7" s="76"/>
      <c r="I7" s="80">
        <f>IF(Table3[[#This Row],[Steam Pressure
'[bar']]]&gt;0,VLOOKUP(Table3[[#This Row],[Steam Pressure
'[bar']]],Table327[],3,TRUE),0)</f>
        <v>0</v>
      </c>
      <c r="J7" s="80">
        <f>(Table3[[#This Row],[Specific Enthalpy of Steam
'[kJ/kg']]]/1000)*0.00094708628903179*1000</f>
        <v>0</v>
      </c>
      <c r="K7"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7" s="80">
        <f>Table3[[#This Row],[Calculated Steam Production
'[Ton/h']]]*Table3[[#This Row],[Annual Operation
'[hrs/y']]]</f>
        <v>0</v>
      </c>
      <c r="M7" s="81"/>
      <c r="N7" s="76"/>
      <c r="O7" s="80">
        <f>IF(Table3[[#This Row],[Feed Water Temperature
'[⁰C']]]&gt;0,VLOOKUP(Table3[[#This Row],[Feed Water Temperature
'[⁰C']]],Table426[],4,TRUE),0)</f>
        <v>0</v>
      </c>
      <c r="P7" s="82">
        <f>(Table3[[#This Row],[Enthalpy of Feed Water
'[kJ/kg']]]/1000)*0.00094708628903179*1000</f>
        <v>0</v>
      </c>
      <c r="Q7" s="80">
        <f>(Table3[[#This Row],[Specific Enthalpy of Steam
'[mmBtu/Ton']]]-Table3[[#This Row],[Enthalpy of Feed Water
'[mmBtu/Ton']]])*Table3[[#This Row],[Calculated Steam Production
'[Ton/h']]]*Table3[[#This Row],[Annual Operation
'[hrs/y']]]</f>
        <v>0</v>
      </c>
      <c r="R7" s="76"/>
      <c r="S7" s="76"/>
      <c r="T7" s="78"/>
      <c r="U7" s="83" t="str">
        <f>IF(Table3[[#This Row],[Annual Fuel Consumption
'[mmbtu/y']]]=0,"",Table3[[#This Row],[Annual Fuel Consumption
'[mmbtu/y']]]/(Table3[[#This Row],[Calculated Steam Production
'[Ton/h']]]*Table3[[#This Row],[Annual Operation
'[hrs/y']]]))</f>
        <v/>
      </c>
      <c r="V7" s="83" t="str">
        <f>IF(Table3[[#This Row],[Annual Operation
'[hrs/y']]]=0,"",Table3[[#This Row],[Annual Fuel Consumption
'[mmbtu/y']]]/Table3[[#This Row],[Annual Operation
'[hrs/y']]])</f>
        <v/>
      </c>
      <c r="W7" s="83">
        <f>Table3[[#This Row],[Annual Fuel Consumption
'[mmbtu/y']]]*Table3[[#This Row],[Fuel Price '[PKR/ mmbtu']]]/1000000</f>
        <v>0</v>
      </c>
      <c r="X7" s="83">
        <f>IF(Table3[[#This Row],[Calculated Steam Production
'[Ton/y']]]=0,0,Table3[[#This Row],[Total Energy Cost
'[MPKR/y']]]*1000000/Table3[[#This Row],[Calculated Steam Production
'[Ton/y']]])</f>
        <v>0</v>
      </c>
      <c r="Y7"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8" spans="2:29" s="85" customFormat="1">
      <c r="B8" s="75" t="str">
        <f>IF(Table3[[#This Row],[Boiler Code
'[Identity']]]=C7,"",IF(Table3[[#This Row],[Boiler Code
'[Identity']]]=0,"",ROW(Table3[[#This Row],[Boiler Code
'[Identity']]])-ROW(Table3[[#Headers],[Boiler Code
'[Identity']]])))</f>
        <v/>
      </c>
      <c r="C8" s="76"/>
      <c r="D8" s="76"/>
      <c r="E8" s="77">
        <f>Table3[[#This Row],[Boiler Heating Surface Area
'[m²']]]*10</f>
        <v>0</v>
      </c>
      <c r="F8" s="78"/>
      <c r="G8" s="79"/>
      <c r="H8" s="76"/>
      <c r="I8" s="80">
        <f>IF(Table3[[#This Row],[Steam Pressure
'[bar']]]&gt;0,VLOOKUP(Table3[[#This Row],[Steam Pressure
'[bar']]],Table327[],3,TRUE),0)</f>
        <v>0</v>
      </c>
      <c r="J8" s="80">
        <f>(Table3[[#This Row],[Specific Enthalpy of Steam
'[kJ/kg']]]/1000)*0.00094708628903179*1000</f>
        <v>0</v>
      </c>
      <c r="K8"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8" s="80">
        <f>Table3[[#This Row],[Calculated Steam Production
'[Ton/h']]]*Table3[[#This Row],[Annual Operation
'[hrs/y']]]</f>
        <v>0</v>
      </c>
      <c r="M8" s="81"/>
      <c r="N8" s="76"/>
      <c r="O8" s="80">
        <f>IF(Table3[[#This Row],[Feed Water Temperature
'[⁰C']]]&gt;0,VLOOKUP(Table3[[#This Row],[Feed Water Temperature
'[⁰C']]],Table426[],4,TRUE),0)</f>
        <v>0</v>
      </c>
      <c r="P8" s="82">
        <f>(Table3[[#This Row],[Enthalpy of Feed Water
'[kJ/kg']]]/1000)*0.00094708628903179*1000</f>
        <v>0</v>
      </c>
      <c r="Q8" s="80">
        <f>(Table3[[#This Row],[Specific Enthalpy of Steam
'[mmBtu/Ton']]]-Table3[[#This Row],[Enthalpy of Feed Water
'[mmBtu/Ton']]])*Table3[[#This Row],[Calculated Steam Production
'[Ton/h']]]*Table3[[#This Row],[Annual Operation
'[hrs/y']]]</f>
        <v>0</v>
      </c>
      <c r="R8" s="76"/>
      <c r="S8" s="76"/>
      <c r="T8" s="78"/>
      <c r="U8" s="83" t="str">
        <f>IF(Table3[[#This Row],[Annual Fuel Consumption
'[mmbtu/y']]]=0,"",Table3[[#This Row],[Annual Fuel Consumption
'[mmbtu/y']]]/(Table3[[#This Row],[Calculated Steam Production
'[Ton/h']]]*Table3[[#This Row],[Annual Operation
'[hrs/y']]]))</f>
        <v/>
      </c>
      <c r="V8" s="83" t="str">
        <f>IF(Table3[[#This Row],[Annual Operation
'[hrs/y']]]=0,"",Table3[[#This Row],[Annual Fuel Consumption
'[mmbtu/y']]]/Table3[[#This Row],[Annual Operation
'[hrs/y']]])</f>
        <v/>
      </c>
      <c r="W8" s="83">
        <f>Table3[[#This Row],[Annual Fuel Consumption
'[mmbtu/y']]]*Table3[[#This Row],[Fuel Price '[PKR/ mmbtu']]]/1000000</f>
        <v>0</v>
      </c>
      <c r="X8" s="83">
        <f>IF(Table3[[#This Row],[Calculated Steam Production
'[Ton/y']]]=0,0,Table3[[#This Row],[Total Energy Cost
'[MPKR/y']]]*1000000/Table3[[#This Row],[Calculated Steam Production
'[Ton/y']]])</f>
        <v>0</v>
      </c>
      <c r="Y8"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9" spans="2:29" s="85" customFormat="1">
      <c r="B9" s="75" t="str">
        <f>IF(Table3[[#This Row],[Boiler Code
'[Identity']]]=C8,"",IF(Table3[[#This Row],[Boiler Code
'[Identity']]]=0,"",ROW(Table3[[#This Row],[Boiler Code
'[Identity']]])-ROW(Table3[[#Headers],[Boiler Code
'[Identity']]])))</f>
        <v/>
      </c>
      <c r="C9" s="76"/>
      <c r="D9" s="76"/>
      <c r="E9" s="77">
        <f>Table3[[#This Row],[Boiler Heating Surface Area
'[m²']]]*10</f>
        <v>0</v>
      </c>
      <c r="F9" s="78"/>
      <c r="G9" s="79"/>
      <c r="H9" s="76"/>
      <c r="I9" s="80">
        <f>IF(Table3[[#This Row],[Steam Pressure
'[bar']]]&gt;0,VLOOKUP(Table3[[#This Row],[Steam Pressure
'[bar']]],Table327[],3,TRUE),0)</f>
        <v>0</v>
      </c>
      <c r="J9" s="80">
        <f>(Table3[[#This Row],[Specific Enthalpy of Steam
'[kJ/kg']]]/1000)*0.00094708628903179*1000</f>
        <v>0</v>
      </c>
      <c r="K9"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9" s="80">
        <f>Table3[[#This Row],[Calculated Steam Production
'[Ton/h']]]*Table3[[#This Row],[Annual Operation
'[hrs/y']]]</f>
        <v>0</v>
      </c>
      <c r="M9" s="81"/>
      <c r="N9" s="76"/>
      <c r="O9" s="80">
        <f>IF(Table3[[#This Row],[Feed Water Temperature
'[⁰C']]]&gt;0,VLOOKUP(Table3[[#This Row],[Feed Water Temperature
'[⁰C']]],Table426[],4,TRUE),0)</f>
        <v>0</v>
      </c>
      <c r="P9" s="82">
        <f>(Table3[[#This Row],[Enthalpy of Feed Water
'[kJ/kg']]]/1000)*0.00094708628903179*1000</f>
        <v>0</v>
      </c>
      <c r="Q9" s="80">
        <f>(Table3[[#This Row],[Specific Enthalpy of Steam
'[mmBtu/Ton']]]-Table3[[#This Row],[Enthalpy of Feed Water
'[mmBtu/Ton']]])*Table3[[#This Row],[Calculated Steam Production
'[Ton/h']]]*Table3[[#This Row],[Annual Operation
'[hrs/y']]]</f>
        <v>0</v>
      </c>
      <c r="R9" s="76"/>
      <c r="S9" s="76"/>
      <c r="T9" s="78"/>
      <c r="U9" s="83" t="str">
        <f>IF(Table3[[#This Row],[Annual Fuel Consumption
'[mmbtu/y']]]=0,"",Table3[[#This Row],[Annual Fuel Consumption
'[mmbtu/y']]]/(Table3[[#This Row],[Calculated Steam Production
'[Ton/h']]]*Table3[[#This Row],[Annual Operation
'[hrs/y']]]))</f>
        <v/>
      </c>
      <c r="V9" s="83" t="str">
        <f>IF(Table3[[#This Row],[Annual Operation
'[hrs/y']]]=0,"",Table3[[#This Row],[Annual Fuel Consumption
'[mmbtu/y']]]/Table3[[#This Row],[Annual Operation
'[hrs/y']]])</f>
        <v/>
      </c>
      <c r="W9" s="83">
        <f>Table3[[#This Row],[Annual Fuel Consumption
'[mmbtu/y']]]*Table3[[#This Row],[Fuel Price '[PKR/ mmbtu']]]/1000000</f>
        <v>0</v>
      </c>
      <c r="X9" s="83">
        <f>IF(Table3[[#This Row],[Calculated Steam Production
'[Ton/y']]]=0,0,Table3[[#This Row],[Total Energy Cost
'[MPKR/y']]]*1000000/Table3[[#This Row],[Calculated Steam Production
'[Ton/y']]])</f>
        <v>0</v>
      </c>
      <c r="Y9"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0" spans="2:29" s="85" customFormat="1">
      <c r="B10" s="86" t="str">
        <f>IF(Table3[[#This Row],[Boiler Code
'[Identity']]]=C9,"",IF(Table3[[#This Row],[Boiler Code
'[Identity']]]=0,"",ROW(Table3[[#This Row],[Boiler Code
'[Identity']]])-ROW(Table3[[#Headers],[Boiler Code
'[Identity']]])))</f>
        <v/>
      </c>
      <c r="C10" s="76"/>
      <c r="D10" s="87"/>
      <c r="E10" s="88">
        <f>Table3[[#This Row],[Boiler Heating Surface Area
'[m²']]]*10</f>
        <v>0</v>
      </c>
      <c r="F10" s="78"/>
      <c r="G10" s="79"/>
      <c r="H10" s="76"/>
      <c r="I10" s="80">
        <f>IF(Table3[[#This Row],[Steam Pressure
'[bar']]]&gt;0,VLOOKUP(Table3[[#This Row],[Steam Pressure
'[bar']]],Table327[],3,TRUE),0)</f>
        <v>0</v>
      </c>
      <c r="J10" s="80">
        <f>(Table3[[#This Row],[Specific Enthalpy of Steam
'[kJ/kg']]]/1000)*0.00094708628903179*1000</f>
        <v>0</v>
      </c>
      <c r="K10"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0" s="80">
        <f>Table3[[#This Row],[Calculated Steam Production
'[Ton/h']]]*Table3[[#This Row],[Annual Operation
'[hrs/y']]]</f>
        <v>0</v>
      </c>
      <c r="M10" s="89"/>
      <c r="N10" s="76"/>
      <c r="O10" s="80">
        <f>IF(Table3[[#This Row],[Feed Water Temperature
'[⁰C']]]&gt;0,VLOOKUP(Table3[[#This Row],[Feed Water Temperature
'[⁰C']]],Table426[],4,TRUE),0)</f>
        <v>0</v>
      </c>
      <c r="P10" s="82">
        <f>(Table3[[#This Row],[Enthalpy of Feed Water
'[kJ/kg']]]/1000)*0.00094708628903179*1000</f>
        <v>0</v>
      </c>
      <c r="Q10" s="80">
        <f>(Table3[[#This Row],[Specific Enthalpy of Steam
'[mmBtu/Ton']]]-Table3[[#This Row],[Enthalpy of Feed Water
'[mmBtu/Ton']]])*Table3[[#This Row],[Calculated Steam Production
'[Ton/h']]]*Table3[[#This Row],[Annual Operation
'[hrs/y']]]</f>
        <v>0</v>
      </c>
      <c r="R10" s="76"/>
      <c r="S10" s="76"/>
      <c r="T10" s="78"/>
      <c r="U10" s="90" t="str">
        <f>IF(Table3[[#This Row],[Annual Fuel Consumption
'[mmbtu/y']]]=0,"",Table3[[#This Row],[Annual Fuel Consumption
'[mmbtu/y']]]/(Table3[[#This Row],[Calculated Steam Production
'[Ton/h']]]*Table3[[#This Row],[Annual Operation
'[hrs/y']]]))</f>
        <v/>
      </c>
      <c r="V10" s="90" t="str">
        <f>IF(Table3[[#This Row],[Annual Operation
'[hrs/y']]]=0,"",Table3[[#This Row],[Annual Fuel Consumption
'[mmbtu/y']]]/Table3[[#This Row],[Annual Operation
'[hrs/y']]])</f>
        <v/>
      </c>
      <c r="W10" s="90">
        <f>Table3[[#This Row],[Annual Fuel Consumption
'[mmbtu/y']]]*Table3[[#This Row],[Fuel Price '[PKR/ mmbtu']]]/1000000</f>
        <v>0</v>
      </c>
      <c r="X10" s="90">
        <f>IF(Table3[[#This Row],[Calculated Steam Production
'[Ton/y']]]=0,0,Table3[[#This Row],[Total Energy Cost
'[MPKR/y']]]*1000000/Table3[[#This Row],[Calculated Steam Production
'[Ton/y']]])</f>
        <v>0</v>
      </c>
      <c r="Y10"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1" spans="2:29" s="85" customFormat="1">
      <c r="B11" s="86" t="str">
        <f>IF(Table3[[#This Row],[Boiler Code
'[Identity']]]=C10,"",IF(Table3[[#This Row],[Boiler Code
'[Identity']]]=0,"",ROW(Table3[[#This Row],[Boiler Code
'[Identity']]])-ROW(Table3[[#Headers],[Boiler Code
'[Identity']]])))</f>
        <v/>
      </c>
      <c r="C11" s="76"/>
      <c r="D11" s="87"/>
      <c r="E11" s="88">
        <f>Table3[[#This Row],[Boiler Heating Surface Area
'[m²']]]*10</f>
        <v>0</v>
      </c>
      <c r="F11" s="78"/>
      <c r="G11" s="79"/>
      <c r="H11" s="76"/>
      <c r="I11" s="80">
        <f>IF(Table3[[#This Row],[Steam Pressure
'[bar']]]&gt;0,VLOOKUP(Table3[[#This Row],[Steam Pressure
'[bar']]],Table327[],3,TRUE),0)</f>
        <v>0</v>
      </c>
      <c r="J11" s="80">
        <f>(Table3[[#This Row],[Specific Enthalpy of Steam
'[kJ/kg']]]/1000)*0.00094708628903179*1000</f>
        <v>0</v>
      </c>
      <c r="K11"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1" s="80">
        <f>Table3[[#This Row],[Calculated Steam Production
'[Ton/h']]]*Table3[[#This Row],[Annual Operation
'[hrs/y']]]</f>
        <v>0</v>
      </c>
      <c r="M11" s="89"/>
      <c r="N11" s="76"/>
      <c r="O11" s="80">
        <f>IF(Table3[[#This Row],[Feed Water Temperature
'[⁰C']]]&gt;0,VLOOKUP(Table3[[#This Row],[Feed Water Temperature
'[⁰C']]],Table426[],4,TRUE),0)</f>
        <v>0</v>
      </c>
      <c r="P11" s="82">
        <f>(Table3[[#This Row],[Enthalpy of Feed Water
'[kJ/kg']]]/1000)*0.00094708628903179*1000</f>
        <v>0</v>
      </c>
      <c r="Q11" s="80">
        <f>(Table3[[#This Row],[Specific Enthalpy of Steam
'[mmBtu/Ton']]]-Table3[[#This Row],[Enthalpy of Feed Water
'[mmBtu/Ton']]])*Table3[[#This Row],[Calculated Steam Production
'[Ton/h']]]*Table3[[#This Row],[Annual Operation
'[hrs/y']]]</f>
        <v>0</v>
      </c>
      <c r="R11" s="76"/>
      <c r="S11" s="76"/>
      <c r="T11" s="78"/>
      <c r="U11" s="90" t="str">
        <f>IF(Table3[[#This Row],[Annual Fuel Consumption
'[mmbtu/y']]]=0,"",Table3[[#This Row],[Annual Fuel Consumption
'[mmbtu/y']]]/(Table3[[#This Row],[Calculated Steam Production
'[Ton/h']]]*Table3[[#This Row],[Annual Operation
'[hrs/y']]]))</f>
        <v/>
      </c>
      <c r="V11" s="90" t="str">
        <f>IF(Table3[[#This Row],[Annual Operation
'[hrs/y']]]=0,"",Table3[[#This Row],[Annual Fuel Consumption
'[mmbtu/y']]]/Table3[[#This Row],[Annual Operation
'[hrs/y']]])</f>
        <v/>
      </c>
      <c r="W11" s="90">
        <f>Table3[[#This Row],[Annual Fuel Consumption
'[mmbtu/y']]]*Table3[[#This Row],[Fuel Price '[PKR/ mmbtu']]]/1000000</f>
        <v>0</v>
      </c>
      <c r="X11" s="90">
        <f>IF(Table3[[#This Row],[Calculated Steam Production
'[Ton/y']]]=0,0,Table3[[#This Row],[Total Energy Cost
'[MPKR/y']]]*1000000/Table3[[#This Row],[Calculated Steam Production
'[Ton/y']]])</f>
        <v>0</v>
      </c>
      <c r="Y11"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2" spans="2:29" s="85" customFormat="1">
      <c r="B12" s="75" t="str">
        <f>IF(Table3[[#This Row],[Boiler Code
'[Identity']]]=C11,"",IF(Table3[[#This Row],[Boiler Code
'[Identity']]]=0,"",ROW(Table3[[#This Row],[Boiler Code
'[Identity']]])-ROW(Table3[[#Headers],[Boiler Code
'[Identity']]])))</f>
        <v/>
      </c>
      <c r="C12" s="76"/>
      <c r="D12" s="76"/>
      <c r="E12" s="77">
        <f>Table3[[#This Row],[Boiler Heating Surface Area
'[m²']]]*10</f>
        <v>0</v>
      </c>
      <c r="F12" s="78"/>
      <c r="G12" s="79"/>
      <c r="H12" s="76"/>
      <c r="I12" s="80">
        <f>IF(Table3[[#This Row],[Steam Pressure
'[bar']]]&gt;0,VLOOKUP(Table3[[#This Row],[Steam Pressure
'[bar']]],Table327[],3,TRUE),0)</f>
        <v>0</v>
      </c>
      <c r="J12" s="80">
        <f>(Table3[[#This Row],[Specific Enthalpy of Steam
'[kJ/kg']]]/1000)*0.00094708628903179*1000</f>
        <v>0</v>
      </c>
      <c r="K12"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2" s="80">
        <f>Table3[[#This Row],[Calculated Steam Production
'[Ton/h']]]*Table3[[#This Row],[Annual Operation
'[hrs/y']]]</f>
        <v>0</v>
      </c>
      <c r="M12" s="81"/>
      <c r="N12" s="76"/>
      <c r="O12" s="80">
        <f>IF(Table3[[#This Row],[Feed Water Temperature
'[⁰C']]]&gt;0,VLOOKUP(Table3[[#This Row],[Feed Water Temperature
'[⁰C']]],Table426[],4,TRUE),0)</f>
        <v>0</v>
      </c>
      <c r="P12" s="82">
        <f>(Table3[[#This Row],[Enthalpy of Feed Water
'[kJ/kg']]]/1000)*0.00094708628903179*1000</f>
        <v>0</v>
      </c>
      <c r="Q12" s="80">
        <f>(Table3[[#This Row],[Specific Enthalpy of Steam
'[mmBtu/Ton']]]-Table3[[#This Row],[Enthalpy of Feed Water
'[mmBtu/Ton']]])*Table3[[#This Row],[Calculated Steam Production
'[Ton/h']]]*Table3[[#This Row],[Annual Operation
'[hrs/y']]]</f>
        <v>0</v>
      </c>
      <c r="R12" s="76"/>
      <c r="S12" s="76"/>
      <c r="T12" s="78"/>
      <c r="U12" s="83" t="str">
        <f>IF(Table3[[#This Row],[Annual Fuel Consumption
'[mmbtu/y']]]=0,"",Table3[[#This Row],[Annual Fuel Consumption
'[mmbtu/y']]]/(Table3[[#This Row],[Calculated Steam Production
'[Ton/h']]]*Table3[[#This Row],[Annual Operation
'[hrs/y']]]))</f>
        <v/>
      </c>
      <c r="V12" s="83" t="str">
        <f>IF(Table3[[#This Row],[Annual Operation
'[hrs/y']]]=0,"",Table3[[#This Row],[Annual Fuel Consumption
'[mmbtu/y']]]/Table3[[#This Row],[Annual Operation
'[hrs/y']]])</f>
        <v/>
      </c>
      <c r="W12" s="83">
        <f>Table3[[#This Row],[Annual Fuel Consumption
'[mmbtu/y']]]*Table3[[#This Row],[Fuel Price '[PKR/ mmbtu']]]/1000000</f>
        <v>0</v>
      </c>
      <c r="X12" s="83">
        <f>IF(Table3[[#This Row],[Calculated Steam Production
'[Ton/y']]]=0,0,Table3[[#This Row],[Total Energy Cost
'[MPKR/y']]]*1000000/Table3[[#This Row],[Calculated Steam Production
'[Ton/y']]])</f>
        <v>0</v>
      </c>
      <c r="Y12"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3" spans="2:29" s="85" customFormat="1">
      <c r="B13" s="75" t="str">
        <f>IF(Table3[[#This Row],[Boiler Code
'[Identity']]]=C12,"",IF(Table3[[#This Row],[Boiler Code
'[Identity']]]=0,"",ROW(Table3[[#This Row],[Boiler Code
'[Identity']]])-ROW(Table3[[#Headers],[Boiler Code
'[Identity']]])))</f>
        <v/>
      </c>
      <c r="C13" s="76"/>
      <c r="D13" s="76"/>
      <c r="E13" s="77">
        <f>Table3[[#This Row],[Boiler Heating Surface Area
'[m²']]]*10</f>
        <v>0</v>
      </c>
      <c r="F13" s="78"/>
      <c r="G13" s="79"/>
      <c r="H13" s="76"/>
      <c r="I13" s="80">
        <f>IF(Table3[[#This Row],[Steam Pressure
'[bar']]]&gt;0,VLOOKUP(Table3[[#This Row],[Steam Pressure
'[bar']]],Table327[],3,TRUE),0)</f>
        <v>0</v>
      </c>
      <c r="J13" s="80">
        <f>(Table3[[#This Row],[Specific Enthalpy of Steam
'[kJ/kg']]]/1000)*0.00094708628903179*1000</f>
        <v>0</v>
      </c>
      <c r="K13"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3" s="80">
        <f>Table3[[#This Row],[Calculated Steam Production
'[Ton/h']]]*Table3[[#This Row],[Annual Operation
'[hrs/y']]]</f>
        <v>0</v>
      </c>
      <c r="M13" s="81"/>
      <c r="N13" s="76"/>
      <c r="O13" s="80">
        <f>IF(Table3[[#This Row],[Feed Water Temperature
'[⁰C']]]&gt;0,VLOOKUP(Table3[[#This Row],[Feed Water Temperature
'[⁰C']]],Table426[],4,TRUE),0)</f>
        <v>0</v>
      </c>
      <c r="P13" s="82">
        <f>(Table3[[#This Row],[Enthalpy of Feed Water
'[kJ/kg']]]/1000)*0.00094708628903179*1000</f>
        <v>0</v>
      </c>
      <c r="Q13" s="80">
        <f>(Table3[[#This Row],[Specific Enthalpy of Steam
'[mmBtu/Ton']]]-Table3[[#This Row],[Enthalpy of Feed Water
'[mmBtu/Ton']]])*Table3[[#This Row],[Calculated Steam Production
'[Ton/h']]]*Table3[[#This Row],[Annual Operation
'[hrs/y']]]</f>
        <v>0</v>
      </c>
      <c r="R13" s="76"/>
      <c r="S13" s="76"/>
      <c r="T13" s="78"/>
      <c r="U13" s="83" t="str">
        <f>IF(Table3[[#This Row],[Annual Fuel Consumption
'[mmbtu/y']]]=0,"",Table3[[#This Row],[Annual Fuel Consumption
'[mmbtu/y']]]/(Table3[[#This Row],[Calculated Steam Production
'[Ton/h']]]*Table3[[#This Row],[Annual Operation
'[hrs/y']]]))</f>
        <v/>
      </c>
      <c r="V13" s="83" t="str">
        <f>IF(Table3[[#This Row],[Annual Operation
'[hrs/y']]]=0,"",Table3[[#This Row],[Annual Fuel Consumption
'[mmbtu/y']]]/Table3[[#This Row],[Annual Operation
'[hrs/y']]])</f>
        <v/>
      </c>
      <c r="W13" s="83">
        <f>Table3[[#This Row],[Annual Fuel Consumption
'[mmbtu/y']]]*Table3[[#This Row],[Fuel Price '[PKR/ mmbtu']]]/1000000</f>
        <v>0</v>
      </c>
      <c r="X13" s="83">
        <f>IF(Table3[[#This Row],[Calculated Steam Production
'[Ton/y']]]=0,0,Table3[[#This Row],[Total Energy Cost
'[MPKR/y']]]*1000000/Table3[[#This Row],[Calculated Steam Production
'[Ton/y']]])</f>
        <v>0</v>
      </c>
      <c r="Y13"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4" spans="2:29" s="85" customFormat="1">
      <c r="B14" s="75" t="str">
        <f>IF(Table3[[#This Row],[Boiler Code
'[Identity']]]=C13,"",IF(Table3[[#This Row],[Boiler Code
'[Identity']]]=0,"",ROW(Table3[[#This Row],[Boiler Code
'[Identity']]])-ROW(Table3[[#Headers],[Boiler Code
'[Identity']]])))</f>
        <v/>
      </c>
      <c r="C14" s="76"/>
      <c r="D14" s="76"/>
      <c r="E14" s="77">
        <f>Table3[[#This Row],[Boiler Heating Surface Area
'[m²']]]*10</f>
        <v>0</v>
      </c>
      <c r="F14" s="78"/>
      <c r="G14" s="79"/>
      <c r="H14" s="76"/>
      <c r="I14" s="80">
        <f>IF(Table3[[#This Row],[Steam Pressure
'[bar']]]&gt;0,VLOOKUP(Table3[[#This Row],[Steam Pressure
'[bar']]],Table327[],3,TRUE),0)</f>
        <v>0</v>
      </c>
      <c r="J14" s="80">
        <f>(Table3[[#This Row],[Specific Enthalpy of Steam
'[kJ/kg']]]/1000)*0.00094708628903179*1000</f>
        <v>0</v>
      </c>
      <c r="K14"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4" s="80">
        <f>Table3[[#This Row],[Calculated Steam Production
'[Ton/h']]]*Table3[[#This Row],[Annual Operation
'[hrs/y']]]</f>
        <v>0</v>
      </c>
      <c r="M14" s="81"/>
      <c r="N14" s="76"/>
      <c r="O14" s="80">
        <f>IF(Table3[[#This Row],[Feed Water Temperature
'[⁰C']]]&gt;0,VLOOKUP(Table3[[#This Row],[Feed Water Temperature
'[⁰C']]],Table426[],4,TRUE),0)</f>
        <v>0</v>
      </c>
      <c r="P14" s="82">
        <f>(Table3[[#This Row],[Enthalpy of Feed Water
'[kJ/kg']]]/1000)*0.00094708628903179*1000</f>
        <v>0</v>
      </c>
      <c r="Q14" s="80">
        <f>(Table3[[#This Row],[Specific Enthalpy of Steam
'[mmBtu/Ton']]]-Table3[[#This Row],[Enthalpy of Feed Water
'[mmBtu/Ton']]])*Table3[[#This Row],[Calculated Steam Production
'[Ton/h']]]*Table3[[#This Row],[Annual Operation
'[hrs/y']]]</f>
        <v>0</v>
      </c>
      <c r="R14" s="76"/>
      <c r="S14" s="76"/>
      <c r="T14" s="78"/>
      <c r="U14" s="83" t="str">
        <f>IF(Table3[[#This Row],[Annual Fuel Consumption
'[mmbtu/y']]]=0,"",Table3[[#This Row],[Annual Fuel Consumption
'[mmbtu/y']]]/(Table3[[#This Row],[Calculated Steam Production
'[Ton/h']]]*Table3[[#This Row],[Annual Operation
'[hrs/y']]]))</f>
        <v/>
      </c>
      <c r="V14" s="83" t="str">
        <f>IF(Table3[[#This Row],[Annual Operation
'[hrs/y']]]=0,"",Table3[[#This Row],[Annual Fuel Consumption
'[mmbtu/y']]]/Table3[[#This Row],[Annual Operation
'[hrs/y']]])</f>
        <v/>
      </c>
      <c r="W14" s="83">
        <f>Table3[[#This Row],[Annual Fuel Consumption
'[mmbtu/y']]]*Table3[[#This Row],[Fuel Price '[PKR/ mmbtu']]]/1000000</f>
        <v>0</v>
      </c>
      <c r="X14" s="83">
        <f>IF(Table3[[#This Row],[Calculated Steam Production
'[Ton/y']]]=0,0,Table3[[#This Row],[Total Energy Cost
'[MPKR/y']]]*1000000/Table3[[#This Row],[Calculated Steam Production
'[Ton/y']]])</f>
        <v>0</v>
      </c>
      <c r="Y14"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5" spans="2:29" s="85" customFormat="1">
      <c r="B15" s="75" t="str">
        <f>IF(Table3[[#This Row],[Boiler Code
'[Identity']]]=C14,"",IF(Table3[[#This Row],[Boiler Code
'[Identity']]]=0,"",ROW(Table3[[#This Row],[Boiler Code
'[Identity']]])-ROW(Table3[[#Headers],[Boiler Code
'[Identity']]])))</f>
        <v/>
      </c>
      <c r="C15" s="76"/>
      <c r="D15" s="76"/>
      <c r="E15" s="77">
        <f>Table3[[#This Row],[Boiler Heating Surface Area
'[m²']]]*10</f>
        <v>0</v>
      </c>
      <c r="F15" s="78"/>
      <c r="G15" s="79"/>
      <c r="H15" s="76"/>
      <c r="I15" s="80">
        <f>IF(Table3[[#This Row],[Steam Pressure
'[bar']]]&gt;0,VLOOKUP(Table3[[#This Row],[Steam Pressure
'[bar']]],Table327[],3,TRUE),0)</f>
        <v>0</v>
      </c>
      <c r="J15" s="80">
        <f>(Table3[[#This Row],[Specific Enthalpy of Steam
'[kJ/kg']]]/1000)*0.00094708628903179*1000</f>
        <v>0</v>
      </c>
      <c r="K15"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5" s="80">
        <f>Table3[[#This Row],[Calculated Steam Production
'[Ton/h']]]*Table3[[#This Row],[Annual Operation
'[hrs/y']]]</f>
        <v>0</v>
      </c>
      <c r="M15" s="81"/>
      <c r="N15" s="76"/>
      <c r="O15" s="80">
        <f>IF(Table3[[#This Row],[Feed Water Temperature
'[⁰C']]]&gt;0,VLOOKUP(Table3[[#This Row],[Feed Water Temperature
'[⁰C']]],Table426[],4,TRUE),0)</f>
        <v>0</v>
      </c>
      <c r="P15" s="82">
        <f>(Table3[[#This Row],[Enthalpy of Feed Water
'[kJ/kg']]]/1000)*0.00094708628903179*1000</f>
        <v>0</v>
      </c>
      <c r="Q15" s="80">
        <f>(Table3[[#This Row],[Specific Enthalpy of Steam
'[mmBtu/Ton']]]-Table3[[#This Row],[Enthalpy of Feed Water
'[mmBtu/Ton']]])*Table3[[#This Row],[Calculated Steam Production
'[Ton/h']]]*Table3[[#This Row],[Annual Operation
'[hrs/y']]]</f>
        <v>0</v>
      </c>
      <c r="R15" s="76"/>
      <c r="S15" s="76"/>
      <c r="T15" s="78"/>
      <c r="U15" s="83" t="str">
        <f>IF(Table3[[#This Row],[Annual Fuel Consumption
'[mmbtu/y']]]=0,"",Table3[[#This Row],[Annual Fuel Consumption
'[mmbtu/y']]]/(Table3[[#This Row],[Calculated Steam Production
'[Ton/h']]]*Table3[[#This Row],[Annual Operation
'[hrs/y']]]))</f>
        <v/>
      </c>
      <c r="V15" s="83" t="str">
        <f>IF(Table3[[#This Row],[Annual Operation
'[hrs/y']]]=0,"",Table3[[#This Row],[Annual Fuel Consumption
'[mmbtu/y']]]/Table3[[#This Row],[Annual Operation
'[hrs/y']]])</f>
        <v/>
      </c>
      <c r="W15" s="83">
        <f>Table3[[#This Row],[Annual Fuel Consumption
'[mmbtu/y']]]*Table3[[#This Row],[Fuel Price '[PKR/ mmbtu']]]/1000000</f>
        <v>0</v>
      </c>
      <c r="X15" s="83">
        <f>IF(Table3[[#This Row],[Calculated Steam Production
'[Ton/y']]]=0,0,Table3[[#This Row],[Total Energy Cost
'[MPKR/y']]]*1000000/Table3[[#This Row],[Calculated Steam Production
'[Ton/y']]])</f>
        <v>0</v>
      </c>
      <c r="Y15"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6" spans="2:29" s="85" customFormat="1">
      <c r="B16" s="75" t="str">
        <f>IF(Table3[[#This Row],[Boiler Code
'[Identity']]]=C15,"",IF(Table3[[#This Row],[Boiler Code
'[Identity']]]=0,"",ROW(Table3[[#This Row],[Boiler Code
'[Identity']]])-ROW(Table3[[#Headers],[Boiler Code
'[Identity']]])))</f>
        <v/>
      </c>
      <c r="C16" s="76"/>
      <c r="D16" s="76"/>
      <c r="E16" s="77">
        <f>Table3[[#This Row],[Boiler Heating Surface Area
'[m²']]]*10</f>
        <v>0</v>
      </c>
      <c r="F16" s="78"/>
      <c r="G16" s="79"/>
      <c r="H16" s="76"/>
      <c r="I16" s="80">
        <f>IF(Table3[[#This Row],[Steam Pressure
'[bar']]]&gt;0,VLOOKUP(Table3[[#This Row],[Steam Pressure
'[bar']]],Table327[],3,TRUE),0)</f>
        <v>0</v>
      </c>
      <c r="J16" s="80">
        <f>(Table3[[#This Row],[Specific Enthalpy of Steam
'[kJ/kg']]]/1000)*0.00094708628903179*1000</f>
        <v>0</v>
      </c>
      <c r="K16"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6" s="80">
        <f>Table3[[#This Row],[Calculated Steam Production
'[Ton/h']]]*Table3[[#This Row],[Annual Operation
'[hrs/y']]]</f>
        <v>0</v>
      </c>
      <c r="M16" s="81"/>
      <c r="N16" s="76"/>
      <c r="O16" s="80">
        <f>IF(Table3[[#This Row],[Feed Water Temperature
'[⁰C']]]&gt;0,VLOOKUP(Table3[[#This Row],[Feed Water Temperature
'[⁰C']]],Table426[],4,TRUE),0)</f>
        <v>0</v>
      </c>
      <c r="P16" s="82">
        <f>(Table3[[#This Row],[Enthalpy of Feed Water
'[kJ/kg']]]/1000)*0.00094708628903179*1000</f>
        <v>0</v>
      </c>
      <c r="Q16" s="80">
        <f>(Table3[[#This Row],[Specific Enthalpy of Steam
'[mmBtu/Ton']]]-Table3[[#This Row],[Enthalpy of Feed Water
'[mmBtu/Ton']]])*Table3[[#This Row],[Calculated Steam Production
'[Ton/h']]]*Table3[[#This Row],[Annual Operation
'[hrs/y']]]</f>
        <v>0</v>
      </c>
      <c r="R16" s="76"/>
      <c r="S16" s="76"/>
      <c r="T16" s="78"/>
      <c r="U16" s="83" t="str">
        <f>IF(Table3[[#This Row],[Annual Fuel Consumption
'[mmbtu/y']]]=0,"",Table3[[#This Row],[Annual Fuel Consumption
'[mmbtu/y']]]/(Table3[[#This Row],[Calculated Steam Production
'[Ton/h']]]*Table3[[#This Row],[Annual Operation
'[hrs/y']]]))</f>
        <v/>
      </c>
      <c r="V16" s="83" t="str">
        <f>IF(Table3[[#This Row],[Annual Operation
'[hrs/y']]]=0,"",Table3[[#This Row],[Annual Fuel Consumption
'[mmbtu/y']]]/Table3[[#This Row],[Annual Operation
'[hrs/y']]])</f>
        <v/>
      </c>
      <c r="W16" s="83">
        <f>Table3[[#This Row],[Annual Fuel Consumption
'[mmbtu/y']]]*Table3[[#This Row],[Fuel Price '[PKR/ mmbtu']]]/1000000</f>
        <v>0</v>
      </c>
      <c r="X16" s="83">
        <f>IF(Table3[[#This Row],[Calculated Steam Production
'[Ton/y']]]=0,0,Table3[[#This Row],[Total Energy Cost
'[MPKR/y']]]*1000000/Table3[[#This Row],[Calculated Steam Production
'[Ton/y']]])</f>
        <v>0</v>
      </c>
      <c r="Y16"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7" spans="2:25" s="85" customFormat="1">
      <c r="B17" s="86" t="str">
        <f>IF(Table3[[#This Row],[Boiler Code
'[Identity']]]=C16,"",IF(Table3[[#This Row],[Boiler Code
'[Identity']]]=0,"",ROW(Table3[[#This Row],[Boiler Code
'[Identity']]])-ROW(Table3[[#Headers],[Boiler Code
'[Identity']]])))</f>
        <v/>
      </c>
      <c r="C17" s="76"/>
      <c r="D17" s="76"/>
      <c r="E17" s="77">
        <f>Table3[[#This Row],[Boiler Heating Surface Area
'[m²']]]*10</f>
        <v>0</v>
      </c>
      <c r="F17" s="78"/>
      <c r="G17" s="79"/>
      <c r="H17" s="76"/>
      <c r="I17" s="80">
        <f>IF(Table3[[#This Row],[Steam Pressure
'[bar']]]&gt;0,VLOOKUP(Table3[[#This Row],[Steam Pressure
'[bar']]],Table327[],3,TRUE),0)</f>
        <v>0</v>
      </c>
      <c r="J17" s="80">
        <f>(Table3[[#This Row],[Specific Enthalpy of Steam
'[kJ/kg']]]/1000)*0.00094708628903179*1000</f>
        <v>0</v>
      </c>
      <c r="K17" s="80">
        <f>IF(Table3[[#This Row],[Specific Enthalpy of Steam
'[kJ/kg']]]&gt;0,IF(Table3[[#This Row],[Average Steam Production from Steam Flow Meter
'[Ton/h']]]&gt;0,Table3[[#This Row],[Average Steam Production from Steam Flow Meter
'[Ton/h']]],Table3[[#This Row],[Rated Boiler Capacity
'[kWhth']]]/(Table3[[#This Row],[Specific Enthalpy of Steam
'[kJ/kg']]]/3.6)),0)</f>
        <v>0</v>
      </c>
      <c r="L17" s="80">
        <f>Table3[[#This Row],[Calculated Steam Production
'[Ton/h']]]*Table3[[#This Row],[Annual Operation
'[hrs/y']]]</f>
        <v>0</v>
      </c>
      <c r="M17" s="81"/>
      <c r="N17" s="76"/>
      <c r="O17" s="80">
        <f>IF(Table3[[#This Row],[Feed Water Temperature
'[⁰C']]]&gt;0,VLOOKUP(Table3[[#This Row],[Feed Water Temperature
'[⁰C']]],Table426[],4,TRUE),0)</f>
        <v>0</v>
      </c>
      <c r="P17" s="82">
        <f>(Table3[[#This Row],[Enthalpy of Feed Water
'[kJ/kg']]]/1000)*0.00094708628903179*1000</f>
        <v>0</v>
      </c>
      <c r="Q17" s="80">
        <f>(Table3[[#This Row],[Specific Enthalpy of Steam
'[mmBtu/Ton']]]-Table3[[#This Row],[Enthalpy of Feed Water
'[mmBtu/Ton']]])*Table3[[#This Row],[Calculated Steam Production
'[Ton/h']]]*Table3[[#This Row],[Annual Operation
'[hrs/y']]]</f>
        <v>0</v>
      </c>
      <c r="R17" s="76"/>
      <c r="S17" s="76"/>
      <c r="T17" s="78"/>
      <c r="U17" s="83" t="str">
        <f>IF(Table3[[#This Row],[Annual Fuel Consumption
'[mmbtu/y']]]=0,"",Table3[[#This Row],[Annual Fuel Consumption
'[mmbtu/y']]]/(Table3[[#This Row],[Calculated Steam Production
'[Ton/h']]]*Table3[[#This Row],[Annual Operation
'[hrs/y']]]))</f>
        <v/>
      </c>
      <c r="V17" s="83" t="str">
        <f>IF(Table3[[#This Row],[Annual Operation
'[hrs/y']]]=0,"",Table3[[#This Row],[Annual Fuel Consumption
'[mmbtu/y']]]/Table3[[#This Row],[Annual Operation
'[hrs/y']]])</f>
        <v/>
      </c>
      <c r="W17" s="83">
        <f>Table3[[#This Row],[Annual Fuel Consumption
'[mmbtu/y']]]*Table3[[#This Row],[Fuel Price '[PKR/ mmbtu']]]/1000000</f>
        <v>0</v>
      </c>
      <c r="X17" s="83">
        <f>IF(Table3[[#This Row],[Calculated Steam Production
'[Ton/y']]]=0,0,Table3[[#This Row],[Total Energy Cost
'[MPKR/y']]]*1000000/Table3[[#This Row],[Calculated Steam Production
'[Ton/y']]])</f>
        <v>0</v>
      </c>
      <c r="Y17" s="84" t="str">
        <f>IF(Table3[[#This Row],[Annual Fuel Consumption
'[mmbtu/y']]]=0,"",Table3[[#This Row],[Average Steam Production from Steam Flow Meter
'[Ton/h']]]*Table3[[#This Row],[Annual Operation
'[hrs/y']]]*(Table3[[#This Row],[Specific Enthalpy of Steam
'[mmBtu/Ton']]]-Table3[[#This Row],[Enthalpy of Feed Water
'[mmBtu/Ton']]])/Table3[[#This Row],[Annual Fuel Consumption
'[mmbtu/y']]])</f>
        <v/>
      </c>
    </row>
    <row r="18" spans="2:25" s="85" customFormat="1">
      <c r="B18" s="86">
        <f>SUBTOTAL(102,Table3['#])</f>
        <v>0</v>
      </c>
      <c r="C18" s="91"/>
      <c r="D18" s="91"/>
      <c r="E18" s="91">
        <f>SUBTOTAL(109,Table3[Rated Boiler Capacity
'[kWhth']])</f>
        <v>0</v>
      </c>
      <c r="F18" s="92">
        <f>SUBTOTAL(109,Table3[Average Steam Production from Steam Flow Meter
'[Ton/h']])</f>
        <v>0</v>
      </c>
      <c r="G18" s="92"/>
      <c r="H18" s="91"/>
      <c r="I18" s="82"/>
      <c r="J18" s="82"/>
      <c r="K18" s="82">
        <f>SUBTOTAL(109,Table3[Calculated Steam Production
'[Ton/h']])</f>
        <v>0</v>
      </c>
      <c r="L18" s="82">
        <f>SUBTOTAL(109,Table3[Calculated Steam Production
'[Ton/y']])</f>
        <v>0</v>
      </c>
      <c r="M18" s="91" t="e">
        <f>SUBTOTAL(101,Table3[Annual Operation
'[hrs/y']])</f>
        <v>#DIV/0!</v>
      </c>
      <c r="N18" s="91"/>
      <c r="O18" s="93"/>
      <c r="P18" s="93"/>
      <c r="Q18" s="82">
        <f>SUBTOTAL(109,Table3[Net Energy Required
'[mmBtu/y']])</f>
        <v>0</v>
      </c>
      <c r="R18" s="91"/>
      <c r="S18" s="91" t="e">
        <f>SUBTOTAL(101,Table3[Fuel Price '[PKR/ mmbtu']])</f>
        <v>#DIV/0!</v>
      </c>
      <c r="T18" s="92">
        <f>SUBTOTAL(109,Table3[Annual Fuel Consumption
'[mmbtu/y']])</f>
        <v>0</v>
      </c>
      <c r="U18" s="92" t="e">
        <f>SUBTOTAL(101,Table3[Specific Fuel Consumption
'[mmbtu/Ton']])</f>
        <v>#DIV/0!</v>
      </c>
      <c r="V18" s="92" t="e">
        <f>SUBTOTAL(101,Table3[Hourly Fuel Consumption
'[mmbtu/h']])</f>
        <v>#DIV/0!</v>
      </c>
      <c r="W18" s="92">
        <f>SUBTOTAL(109,Table3[Total Energy Cost
'[MPKR/y']])</f>
        <v>0</v>
      </c>
      <c r="X18" s="92" t="e">
        <f>Table3[[#Totals],[Total Energy Cost
'[MPKR/y']]]*1000000/Table3[[#Totals],[Calculated Steam Production
'[Ton/y']]]</f>
        <v>#DIV/0!</v>
      </c>
      <c r="Y18" s="94" t="e">
        <f>SUBTOTAL(101,Table3[Net Boiler Efficiency
'[%']])</f>
        <v>#DIV/0!</v>
      </c>
    </row>
    <row r="19" spans="2:25" s="2" customFormat="1">
      <c r="B19" s="23"/>
      <c r="I19" s="16"/>
      <c r="J19" s="16"/>
      <c r="K19" s="16"/>
      <c r="L19" s="16"/>
      <c r="O19" s="16"/>
      <c r="P19" s="16"/>
      <c r="Q19" s="16"/>
    </row>
    <row r="20" spans="2:25">
      <c r="C20" s="4"/>
      <c r="D20" s="5"/>
      <c r="E20" s="5"/>
    </row>
    <row r="21" spans="2:25" hidden="1">
      <c r="C21" s="31"/>
      <c r="D21" s="30"/>
      <c r="E21" s="5"/>
    </row>
    <row r="22" spans="2:25" hidden="1">
      <c r="C22" s="31"/>
      <c r="D22" s="30"/>
      <c r="E22" s="5"/>
    </row>
    <row r="23" spans="2:25" hidden="1">
      <c r="C23" s="31"/>
      <c r="D23" s="30"/>
      <c r="E23" s="5"/>
    </row>
    <row r="24" spans="2:25" hidden="1">
      <c r="C24" s="31"/>
      <c r="D24" s="30"/>
      <c r="E24" s="5"/>
    </row>
    <row r="25" spans="2:25" hidden="1">
      <c r="C25" s="31"/>
      <c r="D25" s="30"/>
      <c r="E25" s="5"/>
    </row>
    <row r="26" spans="2:25" hidden="1">
      <c r="C26" s="31"/>
      <c r="D26" s="30"/>
      <c r="E26" s="5"/>
    </row>
    <row r="27" spans="2:25" hidden="1">
      <c r="C27" s="31"/>
      <c r="D27" s="30"/>
      <c r="E27" s="5"/>
    </row>
    <row r="28" spans="2:25" hidden="1">
      <c r="C28" s="31"/>
      <c r="D28" s="30"/>
      <c r="E28" s="5"/>
    </row>
    <row r="29" spans="2:25" hidden="1">
      <c r="C29" s="31"/>
      <c r="D29" s="30"/>
      <c r="E29" s="5"/>
    </row>
    <row r="30" spans="2:25" hidden="1">
      <c r="C30" s="31"/>
      <c r="D30" s="5"/>
      <c r="E30" s="5"/>
    </row>
    <row r="31" spans="2:25" hidden="1"/>
  </sheetData>
  <sheetProtection password="C5AA" sheet="1" objects="1" scenarios="1" pivotTables="0"/>
  <mergeCells count="1">
    <mergeCell ref="D2:G2"/>
  </mergeCells>
  <pageMargins left="0.25" right="0.25" top="0.75" bottom="0" header="0.3" footer="0.05"/>
  <pageSetup paperSize="9" scale="57" fitToHeight="0" orientation="landscape"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Select Fuel Type">
          <x14:formula1>
            <xm:f>Dropdown!$B$3:$B$9</xm:f>
          </x14:formula1>
          <xm:sqref>R6:R17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2:D9"/>
  <sheetViews>
    <sheetView workbookViewId="0">
      <selection activeCell="I11" sqref="I11"/>
    </sheetView>
  </sheetViews>
  <sheetFormatPr defaultRowHeight="15"/>
  <cols>
    <col min="1" max="16384" width="9.140625" style="2"/>
  </cols>
  <sheetData>
    <row r="2" spans="2:4">
      <c r="B2" s="62" t="s">
        <v>43</v>
      </c>
      <c r="D2" s="2" t="s">
        <v>50</v>
      </c>
    </row>
    <row r="3" spans="2:4">
      <c r="B3" s="2" t="s">
        <v>44</v>
      </c>
      <c r="D3" s="2" t="s">
        <v>54</v>
      </c>
    </row>
    <row r="4" spans="2:4">
      <c r="B4" s="2" t="s">
        <v>45</v>
      </c>
      <c r="D4" s="2" t="s">
        <v>52</v>
      </c>
    </row>
    <row r="5" spans="2:4">
      <c r="B5" s="2" t="s">
        <v>46</v>
      </c>
    </row>
    <row r="6" spans="2:4">
      <c r="B6" s="2" t="s">
        <v>47</v>
      </c>
    </row>
    <row r="7" spans="2:4">
      <c r="B7" s="2" t="s">
        <v>48</v>
      </c>
    </row>
    <row r="8" spans="2:4">
      <c r="B8" s="2" t="s">
        <v>49</v>
      </c>
    </row>
    <row r="9" spans="2:4">
      <c r="B9" s="2"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D59"/>
  <sheetViews>
    <sheetView showGridLines="0" showRowColHeaders="0" zoomScaleNormal="100" workbookViewId="0">
      <selection activeCell="F31" sqref="F31"/>
    </sheetView>
  </sheetViews>
  <sheetFormatPr defaultColWidth="0" defaultRowHeight="15" zeroHeight="1"/>
  <cols>
    <col min="1" max="1" width="4.28515625" style="2" customWidth="1"/>
    <col min="2" max="2" width="27.28515625" style="1" customWidth="1"/>
    <col min="3" max="3" width="1.85546875" style="1" customWidth="1"/>
    <col min="4" max="4" width="27.28515625" style="1" customWidth="1"/>
    <col min="5" max="5" width="2" style="1" customWidth="1"/>
    <col min="6" max="6" width="27.28515625" style="1" customWidth="1"/>
    <col min="7" max="7" width="3" style="1" customWidth="1"/>
    <col min="8" max="8" width="27.28515625" style="1" customWidth="1"/>
    <col min="9" max="9" width="5.7109375" style="2" customWidth="1"/>
    <col min="10" max="11" width="9.140625" style="1" hidden="1" customWidth="1"/>
    <col min="12" max="12" width="22.42578125" style="1" hidden="1" customWidth="1"/>
    <col min="13" max="30" width="0" style="1" hidden="1" customWidth="1"/>
    <col min="31" max="16384" width="9.140625" style="1" hidden="1"/>
  </cols>
  <sheetData>
    <row r="1" spans="2:29">
      <c r="B1" s="2"/>
      <c r="C1" s="2"/>
      <c r="D1" s="2"/>
      <c r="E1" s="2"/>
      <c r="F1" s="2"/>
      <c r="G1" s="2"/>
      <c r="H1" s="2"/>
      <c r="J1" s="2"/>
    </row>
    <row r="2" spans="2:29" ht="21">
      <c r="D2" s="59" t="s">
        <v>61</v>
      </c>
      <c r="E2" s="59"/>
      <c r="F2" s="59"/>
      <c r="G2" s="2"/>
      <c r="H2" s="2"/>
      <c r="J2" s="2"/>
    </row>
    <row r="3" spans="2:29">
      <c r="B3" s="2"/>
      <c r="C3" s="2"/>
      <c r="D3" s="2"/>
      <c r="E3" s="2"/>
      <c r="F3" s="2"/>
      <c r="G3" s="2"/>
      <c r="H3" s="2"/>
      <c r="J3" s="2"/>
    </row>
    <row r="4" spans="2:29">
      <c r="B4" s="2"/>
      <c r="C4" s="2"/>
      <c r="D4" s="2"/>
      <c r="E4" s="2"/>
      <c r="F4" s="2"/>
      <c r="G4" s="2"/>
      <c r="H4" s="2"/>
      <c r="J4" s="2"/>
    </row>
    <row r="5" spans="2:29">
      <c r="B5" s="102" t="s">
        <v>62</v>
      </c>
      <c r="C5" s="102"/>
      <c r="D5" s="102"/>
      <c r="E5" s="2"/>
      <c r="F5" s="102" t="s">
        <v>13</v>
      </c>
      <c r="G5" s="102"/>
      <c r="H5" s="102"/>
    </row>
    <row r="6" spans="2:29" ht="6" customHeight="1">
      <c r="B6" s="2"/>
      <c r="C6" s="2"/>
      <c r="D6" s="2"/>
      <c r="E6" s="2"/>
      <c r="F6" s="2"/>
      <c r="G6" s="2"/>
      <c r="H6" s="2"/>
      <c r="AA6" s="1" t="s">
        <v>3</v>
      </c>
      <c r="AB6" s="1" t="e">
        <f>'Data Input'!D30/((PI()*('Data Input'!D27/2000)^2)*3600)</f>
        <v>#DIV/0!</v>
      </c>
      <c r="AC6" s="1" t="s">
        <v>7</v>
      </c>
    </row>
    <row r="7" spans="2:29">
      <c r="B7" s="42" t="s">
        <v>68</v>
      </c>
      <c r="C7" s="2"/>
      <c r="D7" s="42" t="s">
        <v>63</v>
      </c>
      <c r="E7" s="2"/>
      <c r="F7" s="47" t="s">
        <v>69</v>
      </c>
      <c r="G7" s="2"/>
      <c r="H7" s="42" t="s">
        <v>71</v>
      </c>
      <c r="AA7" s="1" t="s">
        <v>4</v>
      </c>
      <c r="AB7" s="1" t="e">
        <f>'Data Input'!D30/((PI()*('Data Input'!D28/2000)^2)*3600)</f>
        <v>#DIV/0!</v>
      </c>
      <c r="AC7" s="1" t="s">
        <v>7</v>
      </c>
    </row>
    <row r="8" spans="2:29">
      <c r="B8" s="43">
        <f>Table3[[#Totals],['#]]</f>
        <v>0</v>
      </c>
      <c r="C8" s="2"/>
      <c r="D8" s="46">
        <f>Table3[[#Totals],[Calculated Steam Production
'[Ton/y']]]</f>
        <v>0</v>
      </c>
      <c r="E8" s="2"/>
      <c r="F8" s="46" t="e">
        <f>Table3[[#Totals],[Specific Fuel Consumption
'[mmbtu/Ton']]]</f>
        <v>#DIV/0!</v>
      </c>
      <c r="G8" s="2"/>
      <c r="H8" s="48" t="e">
        <f>Table3[[#Totals],[Hourly Fuel Consumption
'[mmbtu/h']]]</f>
        <v>#DIV/0!</v>
      </c>
      <c r="AA8" s="1" t="s">
        <v>5</v>
      </c>
      <c r="AB8" s="1" t="e">
        <f>($AB$6^2)/(2*9.81)</f>
        <v>#DIV/0!</v>
      </c>
      <c r="AC8" s="1" t="s">
        <v>8</v>
      </c>
    </row>
    <row r="9" spans="2:29">
      <c r="B9" s="44" t="s">
        <v>64</v>
      </c>
      <c r="C9" s="2"/>
      <c r="D9" s="44" t="s">
        <v>64</v>
      </c>
      <c r="E9" s="2"/>
      <c r="F9" s="44" t="s">
        <v>70</v>
      </c>
      <c r="G9" s="2"/>
      <c r="H9" s="49" t="s">
        <v>72</v>
      </c>
      <c r="AA9" s="1" t="s">
        <v>6</v>
      </c>
      <c r="AB9" s="1" t="e">
        <f>(AB7^2)/(2*9.81)</f>
        <v>#DIV/0!</v>
      </c>
      <c r="AC9" s="1" t="s">
        <v>8</v>
      </c>
    </row>
    <row r="10" spans="2:29" ht="6" customHeight="1">
      <c r="B10" s="2"/>
      <c r="C10" s="2"/>
      <c r="D10" s="2"/>
      <c r="E10" s="2"/>
      <c r="F10" s="2"/>
      <c r="G10" s="2"/>
      <c r="H10" s="2"/>
    </row>
    <row r="11" spans="2:29">
      <c r="B11" s="42" t="s">
        <v>65</v>
      </c>
      <c r="C11" s="2"/>
      <c r="D11" s="50" t="s">
        <v>67</v>
      </c>
      <c r="E11" s="2"/>
      <c r="F11" s="47" t="s">
        <v>73</v>
      </c>
      <c r="G11" s="2"/>
      <c r="H11" s="47" t="s">
        <v>77</v>
      </c>
    </row>
    <row r="12" spans="2:29">
      <c r="B12" s="46">
        <f>Table3[[#Totals],[Net Energy Required
'[mmBtu/y']]]</f>
        <v>0</v>
      </c>
      <c r="C12" s="2"/>
      <c r="D12" s="46">
        <f>Table3[[#Totals],[Annual Fuel Consumption
'[mmbtu/y']]]</f>
        <v>0</v>
      </c>
      <c r="E12" s="2"/>
      <c r="F12" s="46">
        <f>Table3[[#Totals],[Total Energy Cost
'[MPKR/y']]]</f>
        <v>0</v>
      </c>
      <c r="G12" s="2"/>
      <c r="H12" s="46" t="e">
        <f>Table3[[#Totals],[Steam Fuel Cost
'[PKR/Ton']]]</f>
        <v>#DIV/0!</v>
      </c>
    </row>
    <row r="13" spans="2:29">
      <c r="B13" s="44" t="s">
        <v>66</v>
      </c>
      <c r="C13" s="2"/>
      <c r="D13" s="44" t="s">
        <v>66</v>
      </c>
      <c r="E13" s="2"/>
      <c r="F13" s="44" t="s">
        <v>12</v>
      </c>
      <c r="G13" s="2"/>
      <c r="H13" s="44" t="s">
        <v>74</v>
      </c>
    </row>
    <row r="14" spans="2:29" ht="19.5" customHeight="1">
      <c r="B14" s="2"/>
      <c r="C14" s="2"/>
      <c r="D14" s="2"/>
      <c r="E14" s="2"/>
      <c r="F14" s="2"/>
      <c r="G14" s="3"/>
      <c r="H14" s="3"/>
    </row>
    <row r="15" spans="2:29">
      <c r="D15" s="103" t="s">
        <v>78</v>
      </c>
      <c r="E15" s="104"/>
      <c r="F15" s="105"/>
      <c r="G15" s="35"/>
      <c r="H15" s="35"/>
    </row>
    <row r="16" spans="2:29" ht="6" customHeight="1">
      <c r="B16" s="2"/>
      <c r="C16" s="2"/>
      <c r="D16" s="2"/>
      <c r="E16" s="2"/>
      <c r="G16" s="3"/>
      <c r="H16" s="3"/>
    </row>
    <row r="17" spans="2:8">
      <c r="C17" s="2"/>
      <c r="D17" s="39" t="s">
        <v>79</v>
      </c>
      <c r="F17" s="39" t="s">
        <v>80</v>
      </c>
      <c r="G17" s="3"/>
      <c r="H17" s="36"/>
    </row>
    <row r="18" spans="2:8">
      <c r="C18" s="2"/>
      <c r="D18" s="40">
        <f>MAX(Table3[Net Boiler Efficiency
'[%']])</f>
        <v>0</v>
      </c>
      <c r="F18" s="40">
        <f>MIN(Table3[Net Boiler Efficiency
'[%']])</f>
        <v>0</v>
      </c>
      <c r="G18" s="3"/>
      <c r="H18" s="37"/>
    </row>
    <row r="19" spans="2:8">
      <c r="C19" s="2"/>
      <c r="D19" s="41" t="s">
        <v>9</v>
      </c>
      <c r="F19" s="41" t="s">
        <v>9</v>
      </c>
      <c r="G19" s="3"/>
      <c r="H19" s="38"/>
    </row>
    <row r="20" spans="2:8" ht="6" customHeight="1">
      <c r="B20" s="2"/>
      <c r="C20" s="2"/>
      <c r="D20" s="2"/>
      <c r="E20" s="2"/>
      <c r="F20" s="2"/>
      <c r="G20" s="2"/>
      <c r="H20" s="2"/>
    </row>
    <row r="21" spans="2:8" ht="18.75">
      <c r="B21" s="32"/>
      <c r="C21" s="2"/>
      <c r="D21" s="103" t="s">
        <v>81</v>
      </c>
      <c r="E21" s="104"/>
      <c r="F21" s="105"/>
      <c r="G21" s="2"/>
      <c r="H21" s="34"/>
    </row>
    <row r="22" spans="2:8" ht="18.75">
      <c r="B22" s="32"/>
      <c r="C22" s="2"/>
      <c r="D22" s="106" t="e">
        <f>Table3[[#Totals],[Net Boiler Efficiency
'[%']]]</f>
        <v>#DIV/0!</v>
      </c>
      <c r="E22" s="107"/>
      <c r="F22" s="108"/>
      <c r="G22" s="2"/>
      <c r="H22" s="34"/>
    </row>
    <row r="23" spans="2:8" ht="18.75">
      <c r="B23" s="33"/>
      <c r="C23" s="2"/>
      <c r="D23" s="109" t="s">
        <v>9</v>
      </c>
      <c r="E23" s="110"/>
      <c r="F23" s="111"/>
      <c r="G23" s="2"/>
      <c r="H23" s="33"/>
    </row>
    <row r="24" spans="2:8" ht="8.25" customHeight="1">
      <c r="B24" s="2"/>
      <c r="C24" s="2"/>
      <c r="D24" s="2"/>
      <c r="E24" s="2"/>
      <c r="F24" s="2"/>
      <c r="G24" s="2"/>
      <c r="H24" s="2"/>
    </row>
    <row r="25" spans="2:8" hidden="1">
      <c r="B25" s="2"/>
      <c r="C25" s="2"/>
      <c r="D25" s="2"/>
      <c r="E25" s="2"/>
      <c r="F25" s="2"/>
      <c r="G25" s="2"/>
      <c r="H25" s="2"/>
    </row>
    <row r="26" spans="2:8" hidden="1">
      <c r="B26" s="2"/>
      <c r="C26" s="2"/>
      <c r="D26" s="2"/>
      <c r="E26" s="2"/>
      <c r="F26" s="2"/>
      <c r="G26" s="2"/>
      <c r="H26" s="2"/>
    </row>
    <row r="27" spans="2:8" hidden="1">
      <c r="B27" s="2"/>
      <c r="C27" s="2"/>
      <c r="D27" s="2"/>
      <c r="E27" s="2"/>
      <c r="F27" s="2"/>
      <c r="G27" s="2"/>
      <c r="H27" s="2"/>
    </row>
    <row r="28" spans="2:8" hidden="1">
      <c r="B28" s="2"/>
      <c r="C28" s="2"/>
      <c r="D28" s="2"/>
      <c r="E28" s="2"/>
      <c r="F28" s="2"/>
      <c r="G28" s="2"/>
      <c r="H28" s="2"/>
    </row>
    <row r="29" spans="2:8" hidden="1">
      <c r="B29" s="2"/>
      <c r="C29" s="2"/>
      <c r="D29" s="2"/>
      <c r="E29" s="2"/>
      <c r="F29" s="2"/>
      <c r="G29" s="2"/>
      <c r="H29" s="2"/>
    </row>
    <row r="30" spans="2:8" hidden="1">
      <c r="B30" s="2"/>
      <c r="C30" s="2"/>
      <c r="D30" s="2"/>
      <c r="E30" s="2"/>
      <c r="F30" s="2"/>
      <c r="G30" s="2"/>
      <c r="H30" s="2"/>
    </row>
    <row r="31" spans="2:8"/>
    <row r="32" spans="2:8" ht="15" customHeight="1">
      <c r="B32" s="52" t="s">
        <v>10</v>
      </c>
      <c r="C32" s="99" t="s">
        <v>82</v>
      </c>
      <c r="D32" s="100"/>
      <c r="E32" s="100"/>
      <c r="F32" s="101"/>
    </row>
    <row r="33" spans="2:6" ht="15" customHeight="1">
      <c r="B33" s="53">
        <v>0.75</v>
      </c>
      <c r="C33" s="54" t="s">
        <v>11</v>
      </c>
      <c r="D33" s="51"/>
      <c r="E33" s="51"/>
      <c r="F33" s="45"/>
    </row>
    <row r="34" spans="2:6" ht="15" customHeight="1">
      <c r="B34" s="55">
        <v>0.7</v>
      </c>
      <c r="C34" s="54" t="s">
        <v>85</v>
      </c>
      <c r="D34" s="51"/>
      <c r="E34" s="51"/>
      <c r="F34" s="45"/>
    </row>
    <row r="35" spans="2:6" ht="15" customHeight="1">
      <c r="B35" s="56">
        <v>0.65</v>
      </c>
      <c r="C35" s="54" t="s">
        <v>86</v>
      </c>
      <c r="D35" s="51"/>
      <c r="E35" s="51"/>
      <c r="F35" s="45"/>
    </row>
    <row r="36" spans="2:6" ht="15" customHeight="1">
      <c r="B36" s="57">
        <v>0.6</v>
      </c>
      <c r="C36" s="54" t="s">
        <v>83</v>
      </c>
      <c r="D36" s="51"/>
      <c r="E36" s="51"/>
      <c r="F36" s="45"/>
    </row>
    <row r="37" spans="2:6" ht="15" customHeight="1">
      <c r="B37" s="58">
        <v>0.55000000000000004</v>
      </c>
      <c r="C37" s="54" t="s">
        <v>84</v>
      </c>
      <c r="D37" s="51"/>
      <c r="E37" s="51"/>
      <c r="F37" s="45"/>
    </row>
    <row r="38" spans="2:6"/>
    <row r="39" spans="2:6" hidden="1"/>
    <row r="40" spans="2:6" hidden="1"/>
    <row r="41" spans="2:6" hidden="1"/>
    <row r="42" spans="2:6" hidden="1"/>
    <row r="43" spans="2:6" hidden="1"/>
    <row r="44" spans="2:6" hidden="1"/>
    <row r="45" spans="2:6" hidden="1"/>
    <row r="46" spans="2:6" hidden="1"/>
    <row r="47" spans="2:6" hidden="1"/>
    <row r="48" spans="2:6" hidden="1"/>
    <row r="49" hidden="1"/>
    <row r="50" hidden="1"/>
    <row r="51" hidden="1"/>
    <row r="52" hidden="1"/>
    <row r="53" hidden="1"/>
    <row r="54" hidden="1"/>
    <row r="55" hidden="1"/>
    <row r="56" hidden="1"/>
    <row r="57" hidden="1"/>
    <row r="58" hidden="1"/>
    <row r="59" hidden="1"/>
  </sheetData>
  <sheetProtection password="C5AA" sheet="1" objects="1" scenarios="1"/>
  <mergeCells count="7">
    <mergeCell ref="C32:F32"/>
    <mergeCell ref="B5:D5"/>
    <mergeCell ref="F5:H5"/>
    <mergeCell ref="D21:F21"/>
    <mergeCell ref="D22:F22"/>
    <mergeCell ref="D23:F23"/>
    <mergeCell ref="D15:F15"/>
  </mergeCells>
  <conditionalFormatting sqref="H21:H22">
    <cfRule type="colorScale" priority="7">
      <colorScale>
        <cfvo type="num" val="0.3"/>
        <cfvo type="num" val="0.5"/>
        <cfvo type="num" val="0.8"/>
        <color rgb="FFF8696B"/>
        <color rgb="FFFFEB84"/>
        <color rgb="FF63BE7B"/>
      </colorScale>
    </cfRule>
  </conditionalFormatting>
  <conditionalFormatting sqref="D22:F22">
    <cfRule type="colorScale" priority="3">
      <colorScale>
        <cfvo type="num" val="0.55000000000000004"/>
        <cfvo type="num" val="0.65"/>
        <cfvo type="num" val="0.75"/>
        <color rgb="FFF8696B"/>
        <color rgb="FFFFEB84"/>
        <color rgb="FF63BE7B"/>
      </colorScale>
    </cfRule>
  </conditionalFormatting>
  <conditionalFormatting sqref="B33:B37">
    <cfRule type="colorScale" priority="2">
      <colorScale>
        <cfvo type="num" val="0.55000000000000004"/>
        <cfvo type="num" val="0.65"/>
        <cfvo type="num" val="0.75"/>
        <color rgb="FFF8696B"/>
        <color rgb="FFFFEB84"/>
        <color rgb="FF63BE7B"/>
      </colorScale>
    </cfRule>
  </conditionalFormatting>
  <conditionalFormatting sqref="D18 F18">
    <cfRule type="colorScale" priority="1">
      <colorScale>
        <cfvo type="num" val="0.55000000000000004"/>
        <cfvo type="num" val="0.65"/>
        <cfvo type="num" val="0.75"/>
        <color rgb="FFF8696B"/>
        <color rgb="FFFFEB84"/>
        <color rgb="FF63BE7B"/>
      </colorScale>
    </cfRule>
  </conditionalFormatting>
  <pageMargins left="0.25" right="0.25" top="0.5" bottom="0" header="0.3" footer="0"/>
  <pageSetup paperSize="9" orientation="landscape" verticalDpi="0" r:id="rId1"/>
  <drawing r:id="rId2"/>
  <tableParts count="8">
    <tablePart r:id="rId3"/>
    <tablePart r:id="rId4"/>
    <tablePart r:id="rId5"/>
    <tablePart r:id="rId6"/>
    <tablePart r:id="rId7"/>
    <tablePart r:id="rId8"/>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J115"/>
  <sheetViews>
    <sheetView showRowColHeaders="0" workbookViewId="0">
      <selection activeCell="F6" sqref="F6"/>
    </sheetView>
  </sheetViews>
  <sheetFormatPr defaultColWidth="0" defaultRowHeight="15" zeroHeight="1"/>
  <cols>
    <col min="1" max="4" width="9.140625" style="2" customWidth="1"/>
    <col min="5" max="5" width="18.42578125" style="2" customWidth="1"/>
    <col min="6" max="8" width="9.140625" style="2" customWidth="1"/>
    <col min="9" max="9" width="18.7109375" style="2" customWidth="1"/>
    <col min="10" max="10" width="9.140625" style="2" customWidth="1"/>
    <col min="11" max="16384" width="9.140625" style="2" hidden="1"/>
  </cols>
  <sheetData>
    <row r="1" spans="1:10" s="1" customFormat="1">
      <c r="A1" s="2"/>
      <c r="B1" s="2"/>
      <c r="C1" s="2"/>
      <c r="D1" s="2"/>
      <c r="E1" s="2"/>
      <c r="F1" s="2"/>
      <c r="G1" s="2"/>
      <c r="H1" s="2"/>
      <c r="I1" s="2"/>
      <c r="J1" s="2"/>
    </row>
    <row r="2" spans="1:10" s="1" customFormat="1" ht="21">
      <c r="A2" s="2"/>
      <c r="D2" s="114" t="s">
        <v>87</v>
      </c>
      <c r="E2" s="114"/>
      <c r="F2" s="114"/>
      <c r="G2" s="2"/>
      <c r="H2" s="2"/>
      <c r="I2" s="2"/>
      <c r="J2" s="2"/>
    </row>
    <row r="3" spans="1:10" s="1" customFormat="1">
      <c r="A3" s="2"/>
      <c r="B3" s="2"/>
      <c r="C3" s="2"/>
      <c r="D3" s="2"/>
      <c r="E3" s="2"/>
      <c r="F3" s="2"/>
      <c r="G3" s="2"/>
      <c r="H3" s="2"/>
      <c r="I3" s="2"/>
      <c r="J3" s="2"/>
    </row>
    <row r="4" spans="1:10" s="1" customFormat="1">
      <c r="A4" s="2"/>
      <c r="B4" s="2"/>
      <c r="C4" s="2"/>
      <c r="D4" s="2"/>
      <c r="E4" s="2"/>
      <c r="F4" s="2"/>
      <c r="G4" s="2"/>
      <c r="H4" s="2"/>
      <c r="I4" s="2"/>
      <c r="J4" s="2"/>
    </row>
    <row r="5" spans="1:10">
      <c r="B5" s="112" t="s">
        <v>21</v>
      </c>
      <c r="C5" s="112"/>
      <c r="D5" s="112"/>
      <c r="E5" s="112"/>
      <c r="G5" s="112" t="s">
        <v>29</v>
      </c>
      <c r="H5" s="112"/>
      <c r="I5" s="112"/>
    </row>
    <row r="6" spans="1:10" ht="33.75">
      <c r="B6" s="113" t="s">
        <v>22</v>
      </c>
      <c r="C6" s="113"/>
      <c r="D6" s="15" t="s">
        <v>23</v>
      </c>
      <c r="E6" s="15" t="s">
        <v>24</v>
      </c>
      <c r="G6" s="113" t="s">
        <v>23</v>
      </c>
      <c r="H6" s="113"/>
      <c r="I6" s="15" t="s">
        <v>30</v>
      </c>
    </row>
    <row r="7" spans="1:10">
      <c r="B7" s="15" t="s">
        <v>25</v>
      </c>
      <c r="C7" s="15" t="s">
        <v>26</v>
      </c>
      <c r="D7" s="15" t="s">
        <v>27</v>
      </c>
      <c r="E7" s="15" t="s">
        <v>28</v>
      </c>
      <c r="G7" s="15" t="s">
        <v>27</v>
      </c>
      <c r="H7" s="15" t="s">
        <v>31</v>
      </c>
      <c r="I7" s="15" t="s">
        <v>28</v>
      </c>
    </row>
    <row r="8" spans="1:10">
      <c r="B8" s="7">
        <v>0</v>
      </c>
      <c r="C8" s="7">
        <f>CONVERT(B8,"C","K")</f>
        <v>273.14999999999998</v>
      </c>
      <c r="D8" s="8">
        <v>1.01325</v>
      </c>
      <c r="E8" s="9">
        <v>6.1011961912233389E-2</v>
      </c>
      <c r="G8" s="7">
        <v>1</v>
      </c>
      <c r="H8" s="13">
        <v>14.503773800699999</v>
      </c>
      <c r="I8" s="9">
        <v>2674.9496408321465</v>
      </c>
    </row>
    <row r="9" spans="1:10">
      <c r="B9" s="7">
        <v>1</v>
      </c>
      <c r="C9" s="7">
        <f t="shared" ref="C9:C72" si="0">CONVERT(B9,"C","K")</f>
        <v>274.14999999999998</v>
      </c>
      <c r="D9" s="8">
        <v>1.01325</v>
      </c>
      <c r="E9" s="9">
        <v>4.2787080737766559</v>
      </c>
      <c r="G9" s="7">
        <v>2</v>
      </c>
      <c r="H9" s="13">
        <v>29.007547601399999</v>
      </c>
      <c r="I9" s="9">
        <v>2706.2413413742588</v>
      </c>
    </row>
    <row r="10" spans="1:10">
      <c r="B10" s="7">
        <v>2</v>
      </c>
      <c r="C10" s="7">
        <f t="shared" si="0"/>
        <v>275.14999999999998</v>
      </c>
      <c r="D10" s="8">
        <v>1.01325</v>
      </c>
      <c r="E10" s="9">
        <v>8.4931308535231995</v>
      </c>
      <c r="G10" s="7">
        <v>3</v>
      </c>
      <c r="H10" s="13">
        <v>43.511321402099995</v>
      </c>
      <c r="I10" s="9">
        <v>2724.8916665566517</v>
      </c>
      <c r="J10" s="60"/>
    </row>
    <row r="11" spans="1:10">
      <c r="B11" s="7">
        <v>3</v>
      </c>
      <c r="C11" s="7">
        <f t="shared" si="0"/>
        <v>276.14999999999998</v>
      </c>
      <c r="D11" s="8">
        <v>1.01325</v>
      </c>
      <c r="E11" s="9">
        <v>12.704552843894799</v>
      </c>
      <c r="G11" s="7">
        <v>4</v>
      </c>
      <c r="H11" s="13">
        <v>58.015095202799998</v>
      </c>
      <c r="I11" s="9">
        <v>2738.0566229312817</v>
      </c>
    </row>
    <row r="12" spans="1:10">
      <c r="B12" s="7">
        <v>4</v>
      </c>
      <c r="C12" s="7">
        <f t="shared" si="0"/>
        <v>277.14999999999998</v>
      </c>
      <c r="D12" s="8">
        <v>1.01325</v>
      </c>
      <c r="E12" s="9">
        <v>16.913221784309549</v>
      </c>
      <c r="G12" s="7">
        <v>5</v>
      </c>
      <c r="H12" s="13">
        <v>72.518869003500001</v>
      </c>
      <c r="I12" s="9">
        <v>2748.1076146579694</v>
      </c>
    </row>
    <row r="13" spans="1:10">
      <c r="B13" s="7">
        <v>5</v>
      </c>
      <c r="C13" s="7">
        <f t="shared" si="0"/>
        <v>278.14999999999998</v>
      </c>
      <c r="D13" s="8">
        <v>1.01325</v>
      </c>
      <c r="E13" s="9">
        <v>21.119362979809562</v>
      </c>
      <c r="G13" s="7">
        <v>6</v>
      </c>
      <c r="H13" s="13">
        <v>87.02264280419999</v>
      </c>
      <c r="I13" s="9">
        <v>2756.1388895363325</v>
      </c>
    </row>
    <row r="14" spans="1:10">
      <c r="B14" s="7">
        <v>6</v>
      </c>
      <c r="C14" s="7">
        <f t="shared" si="0"/>
        <v>279.14999999999998</v>
      </c>
      <c r="D14" s="8">
        <v>1.01325</v>
      </c>
      <c r="E14" s="9">
        <v>25.323181448848768</v>
      </c>
      <c r="G14" s="7">
        <v>7</v>
      </c>
      <c r="H14" s="13">
        <v>101.52641660489999</v>
      </c>
      <c r="I14" s="9">
        <v>2762.7490827695106</v>
      </c>
    </row>
    <row r="15" spans="1:10">
      <c r="B15" s="7">
        <v>7</v>
      </c>
      <c r="C15" s="7">
        <f t="shared" si="0"/>
        <v>280.14999999999998</v>
      </c>
      <c r="D15" s="8">
        <v>1.01325</v>
      </c>
      <c r="E15" s="9">
        <v>29.52486387039994</v>
      </c>
      <c r="G15" s="7">
        <v>8</v>
      </c>
      <c r="H15" s="13">
        <v>116.0301904056</v>
      </c>
      <c r="I15" s="9">
        <v>2768.3024646637436</v>
      </c>
    </row>
    <row r="16" spans="1:10">
      <c r="B16" s="7">
        <v>8</v>
      </c>
      <c r="C16" s="7">
        <f t="shared" si="0"/>
        <v>281.14999999999998</v>
      </c>
      <c r="D16" s="8">
        <v>1.01325</v>
      </c>
      <c r="E16" s="9">
        <v>33.724580348957701</v>
      </c>
      <c r="G16" s="7">
        <v>9</v>
      </c>
      <c r="H16" s="13">
        <v>130.5339642063</v>
      </c>
      <c r="I16" s="9">
        <v>2773.0376230707607</v>
      </c>
    </row>
    <row r="17" spans="2:9">
      <c r="B17" s="7">
        <v>9</v>
      </c>
      <c r="C17" s="7">
        <f t="shared" si="0"/>
        <v>282.14999999999998</v>
      </c>
      <c r="D17" s="8">
        <v>1.01325</v>
      </c>
      <c r="E17" s="9">
        <v>37.922486014257721</v>
      </c>
      <c r="G17" s="7">
        <v>10</v>
      </c>
      <c r="H17" s="13">
        <v>145.037738007</v>
      </c>
      <c r="I17" s="9">
        <v>2777.1195376846622</v>
      </c>
    </row>
    <row r="18" spans="2:9">
      <c r="B18" s="7">
        <v>10</v>
      </c>
      <c r="C18" s="7">
        <f t="shared" si="0"/>
        <v>283.14999999999998</v>
      </c>
      <c r="D18" s="8">
        <v>1.01325</v>
      </c>
      <c r="E18" s="9">
        <v>42.118722471006052</v>
      </c>
      <c r="G18" s="7">
        <v>11</v>
      </c>
      <c r="H18" s="13">
        <v>159.5415118077</v>
      </c>
      <c r="I18" s="9">
        <v>2780.6671558168696</v>
      </c>
    </row>
    <row r="19" spans="2:9">
      <c r="B19" s="7">
        <v>11</v>
      </c>
      <c r="C19" s="7">
        <f t="shared" si="0"/>
        <v>284.14999999999998</v>
      </c>
      <c r="D19" s="8">
        <v>1.01325</v>
      </c>
      <c r="E19" s="9">
        <v>46.313419112465141</v>
      </c>
      <c r="G19" s="7">
        <v>12</v>
      </c>
      <c r="H19" s="13">
        <v>174.04528560839998</v>
      </c>
      <c r="I19" s="9">
        <v>2783.7691331052347</v>
      </c>
    </row>
    <row r="20" spans="2:9">
      <c r="B20" s="7">
        <v>12</v>
      </c>
      <c r="C20" s="7">
        <f t="shared" si="0"/>
        <v>285.14999999999998</v>
      </c>
      <c r="D20" s="8">
        <v>1.01325</v>
      </c>
      <c r="E20" s="9">
        <v>50.506694310477748</v>
      </c>
      <c r="G20" s="7">
        <v>13</v>
      </c>
      <c r="H20" s="13">
        <v>188.54905940909998</v>
      </c>
      <c r="I20" s="9">
        <v>2786.4933612440836</v>
      </c>
    </row>
    <row r="21" spans="2:9">
      <c r="B21" s="7">
        <v>13</v>
      </c>
      <c r="C21" s="7">
        <f t="shared" si="0"/>
        <v>286.14999999999998</v>
      </c>
      <c r="D21" s="8">
        <v>1.01325</v>
      </c>
      <c r="E21" s="9">
        <v>54.698656493351109</v>
      </c>
      <c r="G21" s="7">
        <v>14</v>
      </c>
      <c r="H21" s="13">
        <v>203.05283320979999</v>
      </c>
      <c r="I21" s="9">
        <v>2788.8930140073867</v>
      </c>
    </row>
    <row r="22" spans="2:9">
      <c r="B22" s="7">
        <v>14</v>
      </c>
      <c r="C22" s="7">
        <f t="shared" si="0"/>
        <v>287.14999999999998</v>
      </c>
      <c r="D22" s="8">
        <v>1.01325</v>
      </c>
      <c r="E22" s="9">
        <v>58.889405121951157</v>
      </c>
      <c r="G22" s="7">
        <v>15</v>
      </c>
      <c r="H22" s="13">
        <v>217.55660701049999</v>
      </c>
      <c r="I22" s="9">
        <v>2791.010536295325</v>
      </c>
    </row>
    <row r="23" spans="2:9">
      <c r="B23" s="7">
        <v>15</v>
      </c>
      <c r="C23" s="7">
        <f t="shared" si="0"/>
        <v>288.14999999999998</v>
      </c>
      <c r="D23" s="8">
        <v>1.01325</v>
      </c>
      <c r="E23" s="9">
        <v>63.079031573411072</v>
      </c>
      <c r="G23" s="7">
        <v>16</v>
      </c>
      <c r="H23" s="13">
        <v>232.06038081119999</v>
      </c>
      <c r="I23" s="9">
        <v>2792.8803636124567</v>
      </c>
    </row>
    <row r="24" spans="2:9">
      <c r="B24" s="7">
        <v>16</v>
      </c>
      <c r="C24" s="7">
        <f t="shared" si="0"/>
        <v>289.14999999999998</v>
      </c>
      <c r="D24" s="8">
        <v>1.01325</v>
      </c>
      <c r="E24" s="9">
        <v>67.267619941008292</v>
      </c>
      <c r="G24" s="7">
        <v>17</v>
      </c>
      <c r="H24" s="13">
        <v>246.56415461189999</v>
      </c>
      <c r="I24" s="9">
        <v>2794.5308285465849</v>
      </c>
    </row>
    <row r="25" spans="2:9">
      <c r="B25" s="7">
        <v>17</v>
      </c>
      <c r="C25" s="7">
        <f t="shared" si="0"/>
        <v>290.14999999999998</v>
      </c>
      <c r="D25" s="8">
        <v>1.01325</v>
      </c>
      <c r="E25" s="9">
        <v>71.455247757949138</v>
      </c>
      <c r="G25" s="7">
        <v>18</v>
      </c>
      <c r="H25" s="13">
        <v>261.0679284126</v>
      </c>
      <c r="I25" s="9">
        <v>2795.9855299404398</v>
      </c>
    </row>
    <row r="26" spans="2:9">
      <c r="B26" s="7">
        <v>18</v>
      </c>
      <c r="C26" s="7">
        <f t="shared" si="0"/>
        <v>291.14999999999998</v>
      </c>
      <c r="D26" s="8">
        <v>1.01325</v>
      </c>
      <c r="E26" s="9">
        <v>75.641986652106596</v>
      </c>
      <c r="G26" s="7">
        <v>19</v>
      </c>
      <c r="H26" s="13">
        <v>275.5717022133</v>
      </c>
      <c r="I26" s="9">
        <v>2797.2643371195404</v>
      </c>
    </row>
    <row r="27" spans="2:9">
      <c r="B27" s="7">
        <v>19</v>
      </c>
      <c r="C27" s="7">
        <f t="shared" si="0"/>
        <v>292.14999999999998</v>
      </c>
      <c r="D27" s="8">
        <v>1.01325</v>
      </c>
      <c r="E27" s="9">
        <v>79.827902938111592</v>
      </c>
      <c r="G27" s="7">
        <v>20</v>
      </c>
      <c r="H27" s="13">
        <v>290.075476014</v>
      </c>
      <c r="I27" s="9">
        <v>2798.384140241516</v>
      </c>
    </row>
    <row r="28" spans="2:9">
      <c r="B28" s="7">
        <v>20</v>
      </c>
      <c r="C28" s="7">
        <f t="shared" si="0"/>
        <v>293.14999999999998</v>
      </c>
      <c r="D28" s="8">
        <v>1.01325</v>
      </c>
      <c r="E28" s="9">
        <v>84.0130581525964</v>
      </c>
      <c r="G28" s="7">
        <v>21</v>
      </c>
      <c r="H28" s="13">
        <v>304.57924981470001</v>
      </c>
      <c r="I28" s="9">
        <v>2799.3594202549652</v>
      </c>
    </row>
    <row r="29" spans="2:9">
      <c r="B29" s="7">
        <v>21</v>
      </c>
      <c r="C29" s="7">
        <f t="shared" si="0"/>
        <v>294.14999999999998</v>
      </c>
      <c r="D29" s="8">
        <v>1.01325</v>
      </c>
      <c r="E29" s="9">
        <v>88.197509537878886</v>
      </c>
      <c r="G29" s="7">
        <v>22</v>
      </c>
      <c r="H29" s="13">
        <v>319.08302361540001</v>
      </c>
      <c r="I29" s="9">
        <v>2800.2026882465839</v>
      </c>
    </row>
    <row r="30" spans="2:9">
      <c r="B30" s="7">
        <v>22</v>
      </c>
      <c r="C30" s="7">
        <f t="shared" si="0"/>
        <v>295.14999999999998</v>
      </c>
      <c r="D30" s="8">
        <v>1.01325</v>
      </c>
      <c r="E30" s="9">
        <v>92.381310478867732</v>
      </c>
      <c r="G30" s="7">
        <v>23</v>
      </c>
      <c r="H30" s="13">
        <v>333.58679741610001</v>
      </c>
      <c r="I30" s="9">
        <v>2800.9248286083694</v>
      </c>
    </row>
    <row r="31" spans="2:9">
      <c r="B31" s="7">
        <v>23</v>
      </c>
      <c r="C31" s="7">
        <f t="shared" si="0"/>
        <v>296.14999999999998</v>
      </c>
      <c r="D31" s="8">
        <v>1.01325</v>
      </c>
      <c r="E31" s="9">
        <v>96.564510897545063</v>
      </c>
      <c r="G31" s="7">
        <v>24</v>
      </c>
      <c r="H31" s="13">
        <v>348.09057121679996</v>
      </c>
      <c r="I31" s="9">
        <v>2801.5353702936377</v>
      </c>
    </row>
    <row r="32" spans="2:9">
      <c r="B32" s="7">
        <v>24</v>
      </c>
      <c r="C32" s="7">
        <f t="shared" si="0"/>
        <v>297.14999999999998</v>
      </c>
      <c r="D32" s="8">
        <v>1.01325</v>
      </c>
      <c r="E32" s="9">
        <v>100.7471576089996</v>
      </c>
      <c r="G32" s="7">
        <v>25</v>
      </c>
      <c r="H32" s="13">
        <v>362.59434501749996</v>
      </c>
      <c r="I32" s="9">
        <v>2802.0427035604553</v>
      </c>
    </row>
    <row r="33" spans="2:9">
      <c r="B33" s="7">
        <v>25</v>
      </c>
      <c r="C33" s="7">
        <f t="shared" si="0"/>
        <v>298.14999999999998</v>
      </c>
      <c r="D33" s="8">
        <v>1.01325</v>
      </c>
      <c r="E33" s="9">
        <v>104.92929464256497</v>
      </c>
      <c r="G33" s="7">
        <v>26</v>
      </c>
      <c r="H33" s="13">
        <v>377.09811881819996</v>
      </c>
      <c r="I33" s="9">
        <v>2802.4542548701052</v>
      </c>
    </row>
    <row r="34" spans="2:9">
      <c r="B34" s="7">
        <v>26</v>
      </c>
      <c r="C34" s="7">
        <f t="shared" si="0"/>
        <v>299.14999999999998</v>
      </c>
      <c r="D34" s="8">
        <v>1.01325</v>
      </c>
      <c r="E34" s="9">
        <v>109.11096353138095</v>
      </c>
      <c r="G34" s="7">
        <v>27</v>
      </c>
      <c r="H34" s="13">
        <v>391.60189261889997</v>
      </c>
      <c r="I34" s="9">
        <v>2802.7766292943743</v>
      </c>
    </row>
    <row r="35" spans="2:9">
      <c r="B35" s="7">
        <v>27</v>
      </c>
      <c r="C35" s="7">
        <f t="shared" si="0"/>
        <v>300.14999999999998</v>
      </c>
      <c r="D35" s="8">
        <v>1.01325</v>
      </c>
      <c r="E35" s="9">
        <v>113.29220357329001</v>
      </c>
      <c r="G35" s="7">
        <v>28</v>
      </c>
      <c r="H35" s="13">
        <v>406.10566641959997</v>
      </c>
      <c r="I35" s="9">
        <v>2803.0157274285807</v>
      </c>
    </row>
    <row r="36" spans="2:9">
      <c r="B36" s="7">
        <v>28</v>
      </c>
      <c r="C36" s="7">
        <f t="shared" si="0"/>
        <v>301.14999999999998</v>
      </c>
      <c r="D36" s="8">
        <v>1.01325</v>
      </c>
      <c r="E36" s="9">
        <v>117.47305206580454</v>
      </c>
      <c r="G36" s="7">
        <v>29</v>
      </c>
      <c r="H36" s="13">
        <v>420.60944022029997</v>
      </c>
      <c r="I36" s="9">
        <v>2803.176842106473</v>
      </c>
    </row>
    <row r="37" spans="2:9">
      <c r="B37" s="7">
        <v>29</v>
      </c>
      <c r="C37" s="7">
        <f t="shared" si="0"/>
        <v>302.14999999999998</v>
      </c>
      <c r="D37" s="8">
        <v>1.01325</v>
      </c>
      <c r="E37" s="9">
        <v>121.65354451757669</v>
      </c>
      <c r="G37" s="7">
        <v>30</v>
      </c>
      <c r="H37" s="13">
        <v>435.11321402099998</v>
      </c>
      <c r="I37" s="9">
        <v>2803.2647389701615</v>
      </c>
    </row>
    <row r="38" spans="2:9">
      <c r="B38" s="7">
        <v>30</v>
      </c>
      <c r="C38" s="7">
        <f t="shared" si="0"/>
        <v>303.14999999999998</v>
      </c>
      <c r="D38" s="8">
        <v>1.01325</v>
      </c>
      <c r="E38" s="9">
        <v>125.83371483858804</v>
      </c>
      <c r="G38" s="7">
        <v>31</v>
      </c>
      <c r="H38" s="13">
        <v>449.61698782169998</v>
      </c>
      <c r="I38" s="9">
        <v>2803.283724028397</v>
      </c>
    </row>
    <row r="39" spans="2:9">
      <c r="B39" s="7">
        <v>31</v>
      </c>
      <c r="C39" s="7">
        <f t="shared" si="0"/>
        <v>304.14999999999998</v>
      </c>
      <c r="D39" s="8">
        <v>1.01325</v>
      </c>
      <c r="E39" s="9">
        <v>130.01359551110443</v>
      </c>
      <c r="G39" s="7">
        <v>32</v>
      </c>
      <c r="H39" s="13">
        <v>464.12076162239998</v>
      </c>
      <c r="I39" s="9">
        <v>2803.2377006483443</v>
      </c>
    </row>
    <row r="40" spans="2:9">
      <c r="B40" s="7">
        <v>32</v>
      </c>
      <c r="C40" s="7">
        <f t="shared" si="0"/>
        <v>305.14999999999998</v>
      </c>
      <c r="D40" s="8">
        <v>1.01325</v>
      </c>
      <c r="E40" s="9">
        <v>134.19321774319434</v>
      </c>
      <c r="G40" s="7">
        <v>33</v>
      </c>
      <c r="H40" s="13">
        <v>478.62453542309999</v>
      </c>
      <c r="I40" s="9">
        <v>2803.1302179056574</v>
      </c>
    </row>
    <row r="41" spans="2:9">
      <c r="B41" s="7">
        <v>33</v>
      </c>
      <c r="C41" s="7">
        <f t="shared" si="0"/>
        <v>306.14999999999998</v>
      </c>
      <c r="D41" s="8">
        <v>1.01325</v>
      </c>
      <c r="E41" s="9">
        <v>138.372611606525</v>
      </c>
      <c r="G41" s="7">
        <v>34</v>
      </c>
      <c r="H41" s="13">
        <v>493.12830922379999</v>
      </c>
      <c r="I41" s="9">
        <v>2802.9645118203998</v>
      </c>
    </row>
    <row r="42" spans="2:9">
      <c r="B42" s="7">
        <v>34</v>
      </c>
      <c r="C42" s="7">
        <f t="shared" si="0"/>
        <v>307.14999999999998</v>
      </c>
      <c r="D42" s="8">
        <v>1.01325</v>
      </c>
      <c r="E42" s="9">
        <v>142.55180615990355</v>
      </c>
      <c r="G42" s="7">
        <v>35</v>
      </c>
      <c r="H42" s="13">
        <v>507.63208302449999</v>
      </c>
      <c r="I42" s="9">
        <v>2802.7435407002808</v>
      </c>
    </row>
    <row r="43" spans="2:9">
      <c r="B43" s="7">
        <v>35</v>
      </c>
      <c r="C43" s="7">
        <f t="shared" si="0"/>
        <v>308.14999999999998</v>
      </c>
      <c r="D43" s="8">
        <v>1.01325</v>
      </c>
      <c r="E43" s="9">
        <v>146.73082955997239</v>
      </c>
      <c r="G43" s="7">
        <v>36</v>
      </c>
      <c r="H43" s="13">
        <v>522.13585682519999</v>
      </c>
      <c r="I43" s="9">
        <v>2802.4700155748992</v>
      </c>
    </row>
    <row r="44" spans="2:9">
      <c r="B44" s="7">
        <v>36</v>
      </c>
      <c r="C44" s="7">
        <f t="shared" si="0"/>
        <v>309.14999999999998</v>
      </c>
      <c r="D44" s="8">
        <v>1.01325</v>
      </c>
      <c r="E44" s="9">
        <v>150.90970916028948</v>
      </c>
      <c r="G44" s="7">
        <v>37</v>
      </c>
      <c r="H44" s="13">
        <v>536.63963062589994</v>
      </c>
      <c r="I44" s="9">
        <v>2802.1464265184582</v>
      </c>
    </row>
    <row r="45" spans="2:9">
      <c r="B45" s="7">
        <v>37</v>
      </c>
      <c r="C45" s="7">
        <f t="shared" si="0"/>
        <v>310.14999999999998</v>
      </c>
      <c r="D45" s="8">
        <v>1.01325</v>
      </c>
      <c r="E45" s="9">
        <v>155.08847159994531</v>
      </c>
      <c r="G45" s="7">
        <v>38</v>
      </c>
      <c r="H45" s="13">
        <v>551.1434044266</v>
      </c>
      <c r="I45" s="9">
        <v>2801.7750655113423</v>
      </c>
    </row>
    <row r="46" spans="2:9">
      <c r="B46" s="7">
        <v>38</v>
      </c>
      <c r="C46" s="7">
        <f t="shared" si="0"/>
        <v>311.14999999999998</v>
      </c>
      <c r="D46" s="8">
        <v>1.01325</v>
      </c>
      <c r="E46" s="9">
        <v>159.2671428827131</v>
      </c>
      <c r="G46" s="7">
        <v>39</v>
      </c>
      <c r="H46" s="13">
        <v>565.64717822729995</v>
      </c>
      <c r="I46" s="9">
        <v>2801.3580463743219</v>
      </c>
    </row>
    <row r="47" spans="2:9">
      <c r="B47" s="7">
        <v>39</v>
      </c>
      <c r="C47" s="7">
        <f t="shared" si="0"/>
        <v>312.14999999999998</v>
      </c>
      <c r="D47" s="8">
        <v>1.01325</v>
      </c>
      <c r="E47" s="9">
        <v>163.44574844770759</v>
      </c>
      <c r="G47" s="7">
        <v>40</v>
      </c>
      <c r="H47" s="13">
        <v>580.15095202800001</v>
      </c>
      <c r="I47" s="9">
        <v>2800.8973222156401</v>
      </c>
    </row>
    <row r="48" spans="2:9">
      <c r="B48" s="7">
        <v>40</v>
      </c>
      <c r="C48" s="7">
        <f t="shared" si="0"/>
        <v>313.14999999999998</v>
      </c>
      <c r="D48" s="8">
        <v>1.01325</v>
      </c>
      <c r="E48" s="9">
        <v>167.62431323236433</v>
      </c>
      <c r="G48" s="7">
        <v>41</v>
      </c>
      <c r="H48" s="13">
        <v>594.65472582869995</v>
      </c>
      <c r="I48" s="9">
        <v>2800.3947007560587</v>
      </c>
    </row>
    <row r="49" spans="2:9">
      <c r="B49" s="7">
        <v>41</v>
      </c>
      <c r="C49" s="7">
        <f t="shared" si="0"/>
        <v>314.14999999999998</v>
      </c>
      <c r="D49" s="8">
        <v>1.01325</v>
      </c>
      <c r="E49" s="9">
        <v>171.8028617285311</v>
      </c>
      <c r="G49" s="7">
        <v>42</v>
      </c>
      <c r="H49" s="13">
        <v>609.15849962940001</v>
      </c>
      <c r="I49" s="9">
        <v>2799.8518578361113</v>
      </c>
    </row>
    <row r="50" spans="2:9">
      <c r="B50" s="7">
        <v>42</v>
      </c>
      <c r="C50" s="7">
        <f t="shared" si="0"/>
        <v>315.14999999999998</v>
      </c>
      <c r="D50" s="8">
        <v>1.01325</v>
      </c>
      <c r="E50" s="9">
        <v>175.98141803236459</v>
      </c>
      <c r="G50" s="7">
        <v>43</v>
      </c>
      <c r="H50" s="13">
        <v>623.66227343009996</v>
      </c>
      <c r="I50" s="9">
        <v>2799.270349360223</v>
      </c>
    </row>
    <row r="51" spans="2:9">
      <c r="B51" s="7">
        <v>43</v>
      </c>
      <c r="C51" s="7">
        <f t="shared" si="0"/>
        <v>316.14999999999998</v>
      </c>
      <c r="D51" s="8">
        <v>1.01325</v>
      </c>
      <c r="E51" s="9">
        <v>180.16000588864452</v>
      </c>
      <c r="G51" s="7">
        <v>44</v>
      </c>
      <c r="H51" s="13">
        <v>638.16604723080002</v>
      </c>
      <c r="I51" s="9">
        <v>2798.6516218918609</v>
      </c>
    </row>
    <row r="52" spans="2:9">
      <c r="B52" s="7">
        <v>44</v>
      </c>
      <c r="C52" s="7">
        <f t="shared" si="0"/>
        <v>317.14999999999998</v>
      </c>
      <c r="D52" s="8">
        <v>1.01325</v>
      </c>
      <c r="E52" s="9">
        <v>184.33864873011277</v>
      </c>
      <c r="G52" s="7">
        <v>45</v>
      </c>
      <c r="H52" s="13">
        <v>652.66982103149996</v>
      </c>
      <c r="I52" s="9">
        <v>2797.9970220803752</v>
      </c>
    </row>
    <row r="53" spans="2:9">
      <c r="B53" s="7">
        <v>45</v>
      </c>
      <c r="C53" s="7">
        <f t="shared" si="0"/>
        <v>318.14999999999998</v>
      </c>
      <c r="D53" s="8">
        <v>1.01325</v>
      </c>
      <c r="E53" s="9">
        <v>188.51736971233049</v>
      </c>
      <c r="G53" s="7">
        <v>46</v>
      </c>
      <c r="H53" s="13">
        <v>667.17359483220002</v>
      </c>
      <c r="I53" s="9">
        <v>2797.307805072785</v>
      </c>
    </row>
    <row r="54" spans="2:9">
      <c r="B54" s="7">
        <v>46</v>
      </c>
      <c r="C54" s="7">
        <f t="shared" si="0"/>
        <v>319.14999999999998</v>
      </c>
      <c r="D54" s="8">
        <v>1.01325</v>
      </c>
      <c r="E54" s="9">
        <v>192.69619174452671</v>
      </c>
      <c r="G54" s="7">
        <v>47</v>
      </c>
      <c r="H54" s="13">
        <v>681.67736863289997</v>
      </c>
      <c r="I54" s="9">
        <v>2796.5851420408685</v>
      </c>
    </row>
    <row r="55" spans="2:9">
      <c r="B55" s="7">
        <v>47</v>
      </c>
      <c r="C55" s="7">
        <f t="shared" si="0"/>
        <v>320.14999999999998</v>
      </c>
      <c r="D55" s="8">
        <v>1.01325</v>
      </c>
      <c r="E55" s="9">
        <v>196.87513751687976</v>
      </c>
      <c r="G55" s="7">
        <v>48</v>
      </c>
      <c r="H55" s="13">
        <v>696.18114243359992</v>
      </c>
      <c r="I55" s="9">
        <v>2795.8301269346061</v>
      </c>
    </row>
    <row r="56" spans="2:9">
      <c r="B56" s="7">
        <v>48</v>
      </c>
      <c r="C56" s="7">
        <f t="shared" si="0"/>
        <v>321.14999999999998</v>
      </c>
      <c r="D56" s="8">
        <v>1.01325</v>
      </c>
      <c r="E56" s="9">
        <v>201.05422952459659</v>
      </c>
      <c r="G56" s="7">
        <v>49</v>
      </c>
      <c r="H56" s="13">
        <v>710.68491623429998</v>
      </c>
      <c r="I56" s="9">
        <v>2795.0437825574509</v>
      </c>
    </row>
    <row r="57" spans="2:9">
      <c r="B57" s="7">
        <v>49</v>
      </c>
      <c r="C57" s="7">
        <f t="shared" si="0"/>
        <v>322.14999999999998</v>
      </c>
      <c r="D57" s="8">
        <v>1.01325</v>
      </c>
      <c r="E57" s="9">
        <v>205.23349008914786</v>
      </c>
      <c r="G57" s="7">
        <v>50</v>
      </c>
      <c r="H57" s="13">
        <v>725.18869003499992</v>
      </c>
      <c r="I57" s="9">
        <v>2794.2270660450631</v>
      </c>
    </row>
    <row r="58" spans="2:9">
      <c r="B58" s="7">
        <v>50</v>
      </c>
      <c r="C58" s="7">
        <f t="shared" si="0"/>
        <v>323.14999999999998</v>
      </c>
      <c r="D58" s="8">
        <v>1.01325</v>
      </c>
      <c r="E58" s="9">
        <v>209.41294137698313</v>
      </c>
      <c r="G58" s="7">
        <v>51</v>
      </c>
      <c r="H58" s="13">
        <v>739.69246383569998</v>
      </c>
      <c r="I58" s="9">
        <v>2793.3808738181665</v>
      </c>
    </row>
    <row r="59" spans="2:9">
      <c r="B59" s="7">
        <v>51</v>
      </c>
      <c r="C59" s="7">
        <f t="shared" si="0"/>
        <v>324.14999999999998</v>
      </c>
      <c r="D59" s="8">
        <v>1.01325</v>
      </c>
      <c r="E59" s="9">
        <v>213.5926054159907</v>
      </c>
      <c r="G59" s="7">
        <v>52</v>
      </c>
      <c r="H59" s="13">
        <v>754.19623763639993</v>
      </c>
      <c r="I59" s="9">
        <v>2792.5060460703012</v>
      </c>
    </row>
    <row r="60" spans="2:9">
      <c r="B60" s="7">
        <v>52</v>
      </c>
      <c r="C60" s="7">
        <f t="shared" si="0"/>
        <v>325.14999999999998</v>
      </c>
      <c r="D60" s="8">
        <v>1.01325</v>
      </c>
      <c r="E60" s="9">
        <v>217.77250410997235</v>
      </c>
      <c r="G60" s="7">
        <v>53</v>
      </c>
      <c r="H60" s="13">
        <v>768.70001143709999</v>
      </c>
      <c r="I60" s="9">
        <v>2791.6033708433815</v>
      </c>
    </row>
    <row r="61" spans="2:9">
      <c r="B61" s="7">
        <v>53</v>
      </c>
      <c r="C61" s="7">
        <f t="shared" si="0"/>
        <v>326.14999999999998</v>
      </c>
      <c r="D61" s="8">
        <v>1.01325</v>
      </c>
      <c r="E61" s="9">
        <v>221.95265925136925</v>
      </c>
      <c r="G61" s="7">
        <v>54</v>
      </c>
      <c r="H61" s="13">
        <v>783.20378523779993</v>
      </c>
      <c r="I61" s="9">
        <v>2790.6735877368519</v>
      </c>
    </row>
    <row r="62" spans="2:9">
      <c r="B62" s="7">
        <v>54</v>
      </c>
      <c r="C62" s="7">
        <f t="shared" si="0"/>
        <v>327.14999999999998</v>
      </c>
      <c r="D62" s="8">
        <v>1.01325</v>
      </c>
      <c r="E62" s="9">
        <v>226.13309253242724</v>
      </c>
      <c r="G62" s="7">
        <v>55</v>
      </c>
      <c r="H62" s="13">
        <v>797.70755903849999</v>
      </c>
      <c r="I62" s="9">
        <v>2789.717391290329</v>
      </c>
    </row>
    <row r="63" spans="2:9">
      <c r="B63" s="7">
        <v>55</v>
      </c>
      <c r="C63" s="7">
        <f t="shared" si="0"/>
        <v>328.15</v>
      </c>
      <c r="D63" s="8">
        <v>1.01325</v>
      </c>
      <c r="E63" s="9">
        <v>230.31382555501989</v>
      </c>
      <c r="G63" s="7">
        <v>56</v>
      </c>
      <c r="H63" s="13">
        <v>812.21133283919994</v>
      </c>
      <c r="I63" s="9">
        <v>2788.7354340744964</v>
      </c>
    </row>
    <row r="64" spans="2:9">
      <c r="B64" s="7">
        <v>56</v>
      </c>
      <c r="C64" s="7">
        <f t="shared" si="0"/>
        <v>329.15</v>
      </c>
      <c r="D64" s="8">
        <v>1.01325</v>
      </c>
      <c r="E64" s="9">
        <v>234.49487983926738</v>
      </c>
      <c r="G64" s="7">
        <v>57</v>
      </c>
      <c r="H64" s="13">
        <v>826.7151066399</v>
      </c>
      <c r="I64" s="9">
        <v>2787.7283295209413</v>
      </c>
    </row>
    <row r="65" spans="2:9">
      <c r="B65" s="7">
        <v>57</v>
      </c>
      <c r="C65" s="7">
        <f t="shared" si="0"/>
        <v>330.15</v>
      </c>
      <c r="D65" s="8">
        <v>1.01325</v>
      </c>
      <c r="E65" s="9">
        <v>238.67627683113466</v>
      </c>
      <c r="G65" s="7">
        <v>58</v>
      </c>
      <c r="H65" s="13">
        <v>841.21888044059995</v>
      </c>
      <c r="I65" s="9">
        <v>2786.6966545172354</v>
      </c>
    </row>
    <row r="66" spans="2:9">
      <c r="B66" s="7">
        <v>58</v>
      </c>
      <c r="C66" s="7">
        <f t="shared" si="0"/>
        <v>331.15</v>
      </c>
      <c r="D66" s="8">
        <v>1.01325</v>
      </c>
      <c r="E66" s="9">
        <v>242.85803790911419</v>
      </c>
      <c r="G66" s="7">
        <v>59</v>
      </c>
      <c r="H66" s="13">
        <v>855.72265424130001</v>
      </c>
      <c r="I66" s="9">
        <v>2785.6409517910588</v>
      </c>
    </row>
    <row r="67" spans="2:9">
      <c r="B67" s="7">
        <v>59</v>
      </c>
      <c r="C67" s="7">
        <f t="shared" si="0"/>
        <v>332.15</v>
      </c>
      <c r="D67" s="8">
        <v>1.01325</v>
      </c>
      <c r="E67" s="9">
        <v>247.04018439014627</v>
      </c>
      <c r="G67" s="7">
        <v>60</v>
      </c>
      <c r="H67" s="13">
        <v>870.22642804199995</v>
      </c>
      <c r="I67" s="9">
        <v>2784.5617321037048</v>
      </c>
    </row>
    <row r="68" spans="2:9">
      <c r="B68" s="7">
        <v>60</v>
      </c>
      <c r="C68" s="7">
        <f t="shared" si="0"/>
        <v>333.15</v>
      </c>
      <c r="D68" s="8">
        <v>1.01325</v>
      </c>
      <c r="E68" s="9">
        <v>251.22273753486482</v>
      </c>
      <c r="G68" s="7">
        <v>61</v>
      </c>
      <c r="H68" s="13">
        <v>884.73020184270001</v>
      </c>
      <c r="I68" s="9">
        <v>2783.4594762712145</v>
      </c>
    </row>
    <row r="69" spans="2:9">
      <c r="B69" s="7">
        <v>61</v>
      </c>
      <c r="C69" s="7">
        <f t="shared" si="0"/>
        <v>334.15</v>
      </c>
      <c r="D69" s="8">
        <v>1.01325</v>
      </c>
      <c r="E69" s="9">
        <v>255.4057185522783</v>
      </c>
      <c r="G69" s="7">
        <v>62</v>
      </c>
      <c r="H69" s="13">
        <v>899.23397564339996</v>
      </c>
      <c r="I69" s="9">
        <v>2782.3346370292211</v>
      </c>
    </row>
    <row r="70" spans="2:9">
      <c r="B70" s="7">
        <v>62</v>
      </c>
      <c r="C70" s="7">
        <f t="shared" si="0"/>
        <v>335.15</v>
      </c>
      <c r="D70" s="8">
        <v>1.01325</v>
      </c>
      <c r="E70" s="9">
        <v>259.58914860397556</v>
      </c>
      <c r="G70" s="7">
        <v>63</v>
      </c>
      <c r="H70" s="13">
        <v>913.73774944410002</v>
      </c>
      <c r="I70" s="9">
        <v>2781.1876407555201</v>
      </c>
    </row>
    <row r="71" spans="2:9">
      <c r="B71" s="7">
        <v>63</v>
      </c>
      <c r="C71" s="7">
        <f t="shared" si="0"/>
        <v>336.15</v>
      </c>
      <c r="D71" s="8">
        <v>1.01325</v>
      </c>
      <c r="E71" s="9">
        <v>263.77304880792212</v>
      </c>
      <c r="G71" s="7">
        <v>64</v>
      </c>
      <c r="H71" s="13">
        <v>928.24152324479996</v>
      </c>
      <c r="I71" s="9">
        <v>2780.0188890630266</v>
      </c>
    </row>
    <row r="72" spans="2:9">
      <c r="B72" s="7">
        <v>64</v>
      </c>
      <c r="C72" s="7">
        <f t="shared" si="0"/>
        <v>337.15</v>
      </c>
      <c r="D72" s="8">
        <v>1.01325</v>
      </c>
      <c r="E72" s="9">
        <v>267.95744024193363</v>
      </c>
      <c r="G72" s="7">
        <v>65</v>
      </c>
      <c r="H72" s="13">
        <v>942.74529704549991</v>
      </c>
      <c r="I72" s="9">
        <v>2778.8287602742389</v>
      </c>
    </row>
    <row r="73" spans="2:9">
      <c r="B73" s="7">
        <v>65</v>
      </c>
      <c r="C73" s="7">
        <f t="shared" ref="C73:C108" si="1">CONVERT(B73,"C","K")</f>
        <v>338.15</v>
      </c>
      <c r="D73" s="8">
        <v>1.01325</v>
      </c>
      <c r="E73" s="9">
        <v>272.14234394688185</v>
      </c>
      <c r="G73" s="7">
        <v>66</v>
      </c>
      <c r="H73" s="13">
        <v>957.24907084619997</v>
      </c>
      <c r="I73" s="9">
        <v>2777.6176107870051</v>
      </c>
    </row>
    <row r="74" spans="2:9">
      <c r="B74" s="7">
        <v>66</v>
      </c>
      <c r="C74" s="7">
        <f t="shared" si="1"/>
        <v>339.15</v>
      </c>
      <c r="D74" s="8">
        <v>1.01325</v>
      </c>
      <c r="E74" s="9">
        <v>276.32778092968306</v>
      </c>
      <c r="G74" s="7">
        <v>67</v>
      </c>
      <c r="H74" s="13">
        <v>971.75284464689992</v>
      </c>
      <c r="I74" s="9">
        <v>2776.3857763404658</v>
      </c>
    </row>
    <row r="75" spans="2:9">
      <c r="B75" s="7">
        <v>67</v>
      </c>
      <c r="C75" s="7">
        <f t="shared" si="1"/>
        <v>340.15</v>
      </c>
      <c r="D75" s="8">
        <v>1.01325</v>
      </c>
      <c r="E75" s="9">
        <v>280.51377216612457</v>
      </c>
      <c r="G75" s="7">
        <v>68</v>
      </c>
      <c r="H75" s="13">
        <v>986.25661844759998</v>
      </c>
      <c r="I75" s="9">
        <v>2775.1335731890813</v>
      </c>
    </row>
    <row r="76" spans="2:9">
      <c r="B76" s="7">
        <v>68</v>
      </c>
      <c r="C76" s="7">
        <f t="shared" si="1"/>
        <v>341.15</v>
      </c>
      <c r="D76" s="8">
        <v>1.01325</v>
      </c>
      <c r="E76" s="9">
        <v>284.70033860357665</v>
      </c>
      <c r="G76" s="7">
        <v>69</v>
      </c>
      <c r="H76" s="13">
        <v>1000.7603922482999</v>
      </c>
      <c r="I76" s="9">
        <v>2773.8612991915033</v>
      </c>
    </row>
    <row r="77" spans="2:9">
      <c r="B77" s="7">
        <v>69</v>
      </c>
      <c r="C77" s="7">
        <f t="shared" si="1"/>
        <v>342.15</v>
      </c>
      <c r="D77" s="8">
        <v>1.01325</v>
      </c>
      <c r="E77" s="9">
        <v>288.88750116361149</v>
      </c>
      <c r="G77" s="7">
        <v>70</v>
      </c>
      <c r="H77" s="13">
        <v>1015.264166049</v>
      </c>
      <c r="I77" s="9">
        <v>2772.5692348209341</v>
      </c>
    </row>
    <row r="78" spans="2:9">
      <c r="B78" s="7">
        <v>70</v>
      </c>
      <c r="C78" s="7">
        <f t="shared" si="1"/>
        <v>343.15</v>
      </c>
      <c r="D78" s="8">
        <v>1.01325</v>
      </c>
      <c r="E78" s="9">
        <v>293.07528074458349</v>
      </c>
      <c r="G78" s="7">
        <v>71</v>
      </c>
      <c r="H78" s="13">
        <v>1029.7679398497</v>
      </c>
      <c r="I78" s="9">
        <v>2771.2576441022647</v>
      </c>
    </row>
    <row r="79" spans="2:9">
      <c r="B79" s="7">
        <v>71</v>
      </c>
      <c r="C79" s="7">
        <f t="shared" si="1"/>
        <v>344.15</v>
      </c>
      <c r="D79" s="8">
        <v>1.01325</v>
      </c>
      <c r="E79" s="9">
        <v>297.2636982241844</v>
      </c>
      <c r="G79" s="7">
        <v>72</v>
      </c>
      <c r="H79" s="13">
        <v>1044.2717136504</v>
      </c>
      <c r="I79" s="9">
        <v>2769.9267754812822</v>
      </c>
    </row>
    <row r="80" spans="2:9">
      <c r="B80" s="7">
        <v>72</v>
      </c>
      <c r="C80" s="7">
        <f t="shared" si="1"/>
        <v>345.15</v>
      </c>
      <c r="D80" s="8">
        <v>1.01325</v>
      </c>
      <c r="E80" s="9">
        <v>301.45277446200964</v>
      </c>
      <c r="G80" s="7">
        <v>73</v>
      </c>
      <c r="H80" s="13">
        <v>1058.7754874510999</v>
      </c>
      <c r="I80" s="9">
        <v>2768.5768626303025</v>
      </c>
    </row>
    <row r="81" spans="2:9">
      <c r="B81" s="7">
        <v>73</v>
      </c>
      <c r="C81" s="7">
        <f t="shared" si="1"/>
        <v>346.15</v>
      </c>
      <c r="D81" s="8">
        <v>1.01325</v>
      </c>
      <c r="E81" s="9">
        <v>305.64253030214451</v>
      </c>
      <c r="G81" s="7">
        <v>74</v>
      </c>
      <c r="H81" s="13">
        <v>1073.2792612517999</v>
      </c>
      <c r="I81" s="9">
        <v>2767.2081251946415</v>
      </c>
    </row>
    <row r="82" spans="2:9">
      <c r="B82" s="7">
        <v>74</v>
      </c>
      <c r="C82" s="7">
        <f t="shared" si="1"/>
        <v>347.15</v>
      </c>
      <c r="D82" s="8">
        <v>1.01325</v>
      </c>
      <c r="E82" s="9">
        <v>309.83298657580673</v>
      </c>
      <c r="G82" s="7">
        <v>75</v>
      </c>
      <c r="H82" s="13">
        <v>1087.7830350525001</v>
      </c>
      <c r="I82" s="9">
        <v>2765.8207694834073</v>
      </c>
    </row>
    <row r="83" spans="2:9">
      <c r="B83" s="7">
        <v>75</v>
      </c>
      <c r="C83" s="7">
        <f t="shared" si="1"/>
        <v>348.15</v>
      </c>
      <c r="D83" s="8">
        <v>1.01325</v>
      </c>
      <c r="E83" s="9">
        <v>314.02416410404442</v>
      </c>
      <c r="G83" s="7">
        <v>76</v>
      </c>
      <c r="H83" s="13">
        <v>1102.2868088532</v>
      </c>
      <c r="I83" s="9">
        <v>2764.414989108082</v>
      </c>
    </row>
    <row r="84" spans="2:9">
      <c r="B84" s="7">
        <v>76</v>
      </c>
      <c r="C84" s="7">
        <f t="shared" si="1"/>
        <v>349.15</v>
      </c>
      <c r="D84" s="8">
        <v>1.01325</v>
      </c>
      <c r="E84" s="9">
        <v>318.21608370051905</v>
      </c>
      <c r="G84" s="7">
        <v>77</v>
      </c>
      <c r="H84" s="13">
        <v>1116.7905826538999</v>
      </c>
      <c r="I84" s="9">
        <v>2762.9909655721071</v>
      </c>
    </row>
    <row r="85" spans="2:9">
      <c r="B85" s="7">
        <v>77</v>
      </c>
      <c r="C85" s="7">
        <f t="shared" si="1"/>
        <v>350.15</v>
      </c>
      <c r="D85" s="8">
        <v>1.01325</v>
      </c>
      <c r="E85" s="9">
        <v>322.40876617437198</v>
      </c>
      <c r="G85" s="7">
        <v>78</v>
      </c>
      <c r="H85" s="13">
        <v>1131.2943564545999</v>
      </c>
      <c r="I85" s="9">
        <v>2761.5488688142309</v>
      </c>
    </row>
    <row r="86" spans="2:9">
      <c r="B86" s="7">
        <v>78</v>
      </c>
      <c r="C86" s="7">
        <f t="shared" si="1"/>
        <v>351.15</v>
      </c>
      <c r="D86" s="8">
        <v>1.01325</v>
      </c>
      <c r="E86" s="9">
        <v>326.60223233318948</v>
      </c>
      <c r="G86" s="7">
        <v>79</v>
      </c>
      <c r="H86" s="13">
        <v>1145.7981302553001</v>
      </c>
      <c r="I86" s="9">
        <v>2760.0888577082364</v>
      </c>
    </row>
    <row r="87" spans="2:9">
      <c r="B87" s="7">
        <v>79</v>
      </c>
      <c r="C87" s="7">
        <f t="shared" si="1"/>
        <v>352.15</v>
      </c>
      <c r="D87" s="8">
        <v>1.01325</v>
      </c>
      <c r="E87" s="9">
        <v>330.79650298608078</v>
      </c>
      <c r="G87" s="7">
        <v>80</v>
      </c>
      <c r="H87" s="13">
        <v>1160.301904056</v>
      </c>
      <c r="I87" s="9">
        <v>2758.6110805215576</v>
      </c>
    </row>
    <row r="88" spans="2:9">
      <c r="B88" s="7">
        <v>80</v>
      </c>
      <c r="C88" s="7">
        <f t="shared" si="1"/>
        <v>353.15</v>
      </c>
      <c r="D88" s="8">
        <v>1.01325</v>
      </c>
      <c r="E88" s="9">
        <v>334.99159894686136</v>
      </c>
      <c r="G88" s="7">
        <v>81</v>
      </c>
      <c r="H88" s="13">
        <v>1174.8056778567</v>
      </c>
      <c r="I88" s="9">
        <v>2757.1156753348673</v>
      </c>
    </row>
    <row r="89" spans="2:9">
      <c r="B89" s="7">
        <v>81</v>
      </c>
      <c r="C89" s="7">
        <f t="shared" si="1"/>
        <v>354.15</v>
      </c>
      <c r="D89" s="8">
        <v>1.01325</v>
      </c>
      <c r="E89" s="9">
        <v>339.18754103735915</v>
      </c>
      <c r="G89" s="7">
        <v>82</v>
      </c>
      <c r="H89" s="13">
        <v>1189.3094516573999</v>
      </c>
      <c r="I89" s="9">
        <v>2755.6027704250309</v>
      </c>
    </row>
    <row r="90" spans="2:9">
      <c r="B90" s="7">
        <v>82</v>
      </c>
      <c r="C90" s="7">
        <f t="shared" si="1"/>
        <v>355.15</v>
      </c>
      <c r="D90" s="8">
        <v>1.01325</v>
      </c>
      <c r="E90" s="9">
        <v>343.38435009084424</v>
      </c>
      <c r="G90" s="7">
        <v>83</v>
      </c>
      <c r="H90" s="13">
        <v>1203.8132254580999</v>
      </c>
      <c r="I90" s="9">
        <v>2754.072484612986</v>
      </c>
    </row>
    <row r="91" spans="2:9">
      <c r="B91" s="7">
        <v>83</v>
      </c>
      <c r="C91" s="7">
        <f t="shared" si="1"/>
        <v>356.15</v>
      </c>
      <c r="D91" s="8">
        <v>1.01325</v>
      </c>
      <c r="E91" s="9">
        <v>347.58204695557856</v>
      </c>
      <c r="G91" s="7">
        <v>84</v>
      </c>
      <c r="H91" s="13">
        <v>1218.3169992588</v>
      </c>
      <c r="I91" s="9">
        <v>2752.5249275788401</v>
      </c>
    </row>
    <row r="92" spans="2:9">
      <c r="B92" s="7">
        <v>84</v>
      </c>
      <c r="C92" s="7">
        <f t="shared" si="1"/>
        <v>357.15</v>
      </c>
      <c r="D92" s="8">
        <v>1.01325</v>
      </c>
      <c r="E92" s="9">
        <v>351.78065249849891</v>
      </c>
      <c r="G92" s="7">
        <v>85</v>
      </c>
      <c r="H92" s="13">
        <v>1232.8207730595</v>
      </c>
      <c r="I92" s="9">
        <v>2750.9602001456014</v>
      </c>
    </row>
    <row r="93" spans="2:9">
      <c r="B93" s="7">
        <v>85</v>
      </c>
      <c r="C93" s="7">
        <f t="shared" si="1"/>
        <v>358.15</v>
      </c>
      <c r="D93" s="8">
        <v>1.01325</v>
      </c>
      <c r="E93" s="9">
        <v>355.98018760902085</v>
      </c>
      <c r="G93" s="7">
        <v>86</v>
      </c>
      <c r="H93" s="13">
        <v>1247.3245468601999</v>
      </c>
      <c r="I93" s="9">
        <v>2749.3783945332975</v>
      </c>
    </row>
    <row r="94" spans="2:9">
      <c r="B94" s="7">
        <v>86</v>
      </c>
      <c r="C94" s="7">
        <f t="shared" si="1"/>
        <v>359.15</v>
      </c>
      <c r="D94" s="8">
        <v>1.01325</v>
      </c>
      <c r="E94" s="9">
        <v>360.18067320298013</v>
      </c>
      <c r="G94" s="7">
        <v>87</v>
      </c>
      <c r="H94" s="13">
        <v>1261.8283206608999</v>
      </c>
      <c r="I94" s="9">
        <v>2747.7795945852636</v>
      </c>
    </row>
    <row r="95" spans="2:9">
      <c r="B95" s="7">
        <v>87</v>
      </c>
      <c r="C95" s="7">
        <f t="shared" si="1"/>
        <v>360.15</v>
      </c>
      <c r="D95" s="8">
        <v>1.01325</v>
      </c>
      <c r="E95" s="9">
        <v>364.3821302266939</v>
      </c>
      <c r="G95" s="7">
        <v>88</v>
      </c>
      <c r="H95" s="13">
        <v>1276.3320944616</v>
      </c>
      <c r="I95" s="9">
        <v>2746.1638759677776</v>
      </c>
    </row>
    <row r="96" spans="2:9">
      <c r="B96" s="7">
        <v>88</v>
      </c>
      <c r="C96" s="7">
        <f t="shared" si="1"/>
        <v>361.15</v>
      </c>
      <c r="D96" s="8">
        <v>1.01325</v>
      </c>
      <c r="E96" s="9">
        <v>368.58457966115384</v>
      </c>
      <c r="G96" s="7">
        <v>89</v>
      </c>
      <c r="H96" s="13">
        <v>1290.8358682623</v>
      </c>
      <c r="I96" s="9">
        <v>2744.5313063447961</v>
      </c>
    </row>
    <row r="97" spans="2:9">
      <c r="B97" s="7">
        <v>89</v>
      </c>
      <c r="C97" s="7">
        <f t="shared" si="1"/>
        <v>362.15</v>
      </c>
      <c r="D97" s="8">
        <v>1.01325</v>
      </c>
      <c r="E97" s="9">
        <v>372.78804252634654</v>
      </c>
      <c r="G97" s="7">
        <v>90</v>
      </c>
      <c r="H97" s="13">
        <v>1305.3396420629999</v>
      </c>
      <c r="I97" s="9">
        <v>2742.881945529055</v>
      </c>
    </row>
    <row r="98" spans="2:9">
      <c r="B98" s="7">
        <v>90</v>
      </c>
      <c r="C98" s="7">
        <f t="shared" si="1"/>
        <v>363.15</v>
      </c>
      <c r="D98" s="8">
        <v>1.01325</v>
      </c>
      <c r="E98" s="9">
        <v>376.99253988569728</v>
      </c>
      <c r="G98" s="7">
        <v>91</v>
      </c>
      <c r="H98" s="13">
        <v>1319.8434158636999</v>
      </c>
      <c r="I98" s="9">
        <v>2741.2158456109223</v>
      </c>
    </row>
    <row r="99" spans="2:9">
      <c r="B99" s="7">
        <v>91</v>
      </c>
      <c r="C99" s="7">
        <f t="shared" si="1"/>
        <v>364.15</v>
      </c>
      <c r="D99" s="8">
        <v>1.01325</v>
      </c>
      <c r="E99" s="9">
        <v>381.19809285063428</v>
      </c>
      <c r="G99" s="7">
        <v>92</v>
      </c>
      <c r="H99" s="13">
        <v>1334.3471896644</v>
      </c>
      <c r="I99" s="9">
        <v>2739.5330510663312</v>
      </c>
    </row>
    <row r="100" spans="2:9">
      <c r="B100" s="7">
        <v>92</v>
      </c>
      <c r="C100" s="7">
        <f t="shared" si="1"/>
        <v>365.15</v>
      </c>
      <c r="D100" s="8">
        <v>1.01325</v>
      </c>
      <c r="E100" s="9">
        <v>385.40472258528223</v>
      </c>
      <c r="G100" s="7">
        <v>93</v>
      </c>
      <c r="H100" s="13">
        <v>1348.8509634651</v>
      </c>
      <c r="I100" s="9">
        <v>2737.8335988451568</v>
      </c>
    </row>
    <row r="101" spans="2:9">
      <c r="B101" s="7">
        <v>93</v>
      </c>
      <c r="C101" s="7">
        <f t="shared" si="1"/>
        <v>366.15</v>
      </c>
      <c r="D101" s="8">
        <v>1.01325</v>
      </c>
      <c r="E101" s="9">
        <v>389.61245031126197</v>
      </c>
      <c r="G101" s="7">
        <v>94</v>
      </c>
      <c r="H101" s="13">
        <v>1363.3547372657999</v>
      </c>
      <c r="I101" s="9">
        <v>2736.1175184410918</v>
      </c>
    </row>
    <row r="102" spans="2:9">
      <c r="B102" s="7">
        <v>94</v>
      </c>
      <c r="C102" s="7">
        <f t="shared" si="1"/>
        <v>367.15</v>
      </c>
      <c r="D102" s="8">
        <v>1.01325</v>
      </c>
      <c r="E102" s="9">
        <v>393.82129731261784</v>
      </c>
      <c r="G102" s="7">
        <v>95</v>
      </c>
      <c r="H102" s="13">
        <v>1377.8585110664999</v>
      </c>
      <c r="I102" s="9">
        <v>2734.3848319444919</v>
      </c>
    </row>
    <row r="103" spans="2:9">
      <c r="B103" s="7">
        <v>95</v>
      </c>
      <c r="C103" s="7">
        <f t="shared" si="1"/>
        <v>368.15</v>
      </c>
      <c r="D103" s="8">
        <v>1.01325</v>
      </c>
      <c r="E103" s="9">
        <v>398.03128494085792</v>
      </c>
      <c r="G103" s="7">
        <v>96</v>
      </c>
      <c r="H103" s="13">
        <v>1392.3622848671998</v>
      </c>
      <c r="I103" s="9">
        <v>2732.6355540791892</v>
      </c>
    </row>
    <row r="104" spans="2:9">
      <c r="B104" s="7">
        <v>96</v>
      </c>
      <c r="C104" s="7">
        <f t="shared" si="1"/>
        <v>369.15</v>
      </c>
      <c r="D104" s="8">
        <v>1.01325</v>
      </c>
      <c r="E104" s="9">
        <v>402.24243462009105</v>
      </c>
      <c r="G104" s="7">
        <v>97</v>
      </c>
      <c r="H104" s="13">
        <v>1406.8660586679</v>
      </c>
      <c r="I104" s="9">
        <v>2730.869692224469</v>
      </c>
    </row>
    <row r="105" spans="2:9">
      <c r="B105" s="7">
        <v>97</v>
      </c>
      <c r="C105" s="7">
        <f t="shared" si="1"/>
        <v>370.15</v>
      </c>
      <c r="D105" s="8">
        <v>1.01325</v>
      </c>
      <c r="E105" s="9">
        <v>406.45476785229465</v>
      </c>
      <c r="G105" s="7">
        <v>98</v>
      </c>
      <c r="H105" s="13">
        <v>1421.3698324686</v>
      </c>
      <c r="I105" s="9">
        <v>2729.0872464235504</v>
      </c>
    </row>
    <row r="106" spans="2:9">
      <c r="B106" s="7">
        <v>98</v>
      </c>
      <c r="C106" s="7">
        <f t="shared" si="1"/>
        <v>371.15</v>
      </c>
      <c r="D106" s="8">
        <v>1.01325</v>
      </c>
      <c r="E106" s="9">
        <v>410.66830622266855</v>
      </c>
      <c r="G106" s="7">
        <v>99</v>
      </c>
      <c r="H106" s="13">
        <v>1435.8736062692999</v>
      </c>
      <c r="I106" s="9">
        <v>2727.2882093793023</v>
      </c>
    </row>
    <row r="107" spans="2:9">
      <c r="B107" s="7">
        <v>99</v>
      </c>
      <c r="C107" s="7">
        <f t="shared" si="1"/>
        <v>372.15</v>
      </c>
      <c r="D107" s="8">
        <v>1.01325</v>
      </c>
      <c r="E107" s="9">
        <v>414.88307140510153</v>
      </c>
      <c r="G107" s="7">
        <v>100</v>
      </c>
      <c r="H107" s="13">
        <v>1450.3773800699998</v>
      </c>
      <c r="I107" s="9">
        <v>2725.4725664387411</v>
      </c>
    </row>
    <row r="108" spans="2:9">
      <c r="B108" s="10">
        <v>100</v>
      </c>
      <c r="C108" s="10">
        <f t="shared" si="1"/>
        <v>373.15</v>
      </c>
      <c r="D108" s="11">
        <v>1.01325</v>
      </c>
      <c r="E108" s="12">
        <v>2675.5848534065949</v>
      </c>
      <c r="G108" s="10">
        <v>101</v>
      </c>
      <c r="H108" s="14">
        <v>1464.8811538707</v>
      </c>
      <c r="I108" s="12">
        <v>2723.6402955669237</v>
      </c>
    </row>
    <row r="109" spans="2:9"/>
    <row r="110" spans="2:9"/>
    <row r="111" spans="2:9">
      <c r="B111" s="61" t="s">
        <v>60</v>
      </c>
    </row>
    <row r="112" spans="2:9"/>
    <row r="113"/>
    <row r="114"/>
    <row r="115"/>
  </sheetData>
  <sheetProtection password="C5AA" sheet="1" objects="1" scenarios="1"/>
  <mergeCells count="5">
    <mergeCell ref="B5:E5"/>
    <mergeCell ref="B6:C6"/>
    <mergeCell ref="G5:I5"/>
    <mergeCell ref="G6:H6"/>
    <mergeCell ref="D2:F2"/>
  </mergeCells>
  <pageMargins left="0.7" right="0.7" top="0.75" bottom="0.75" header="0.3" footer="0.3"/>
  <pageSetup scale="81" fitToHeight="0" orientation="portrait" verticalDpi="0"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4749"/>
    <pageSetUpPr fitToPage="1"/>
  </sheetPr>
  <dimension ref="A1:AE31"/>
  <sheetViews>
    <sheetView workbookViewId="0">
      <pane xSplit="3" ySplit="5" topLeftCell="D6" activePane="bottomRight" state="frozen"/>
      <selection pane="topRight" activeCell="D1" sqref="D1"/>
      <selection pane="bottomLeft" activeCell="A6" sqref="A6"/>
      <selection pane="bottomRight" activeCell="D2" sqref="D2:H2"/>
    </sheetView>
  </sheetViews>
  <sheetFormatPr defaultColWidth="0" defaultRowHeight="15" customHeight="1" zeroHeight="1"/>
  <cols>
    <col min="1" max="1" width="2.28515625" style="17" customWidth="1"/>
    <col min="2" max="2" width="4.28515625" style="24" bestFit="1" customWidth="1"/>
    <col min="3" max="3" width="20.5703125" style="17" bestFit="1" customWidth="1"/>
    <col min="4" max="4" width="9" style="17" bestFit="1" customWidth="1"/>
    <col min="5" max="5" width="10.42578125" style="17" hidden="1" customWidth="1"/>
    <col min="6" max="6" width="11.85546875" style="17" customWidth="1"/>
    <col min="7" max="7" width="9.5703125" style="17" customWidth="1"/>
    <col min="8" max="8" width="12.28515625" style="17" bestFit="1" customWidth="1"/>
    <col min="9" max="9" width="10.7109375" style="17" customWidth="1"/>
    <col min="10" max="10" width="15.42578125" style="17" hidden="1" customWidth="1"/>
    <col min="11" max="11" width="11.5703125" style="17" hidden="1" customWidth="1"/>
    <col min="12" max="12" width="11.5703125" style="17" customWidth="1"/>
    <col min="13" max="13" width="11.140625" style="17" bestFit="1" customWidth="1"/>
    <col min="14" max="14" width="10.42578125" style="17" bestFit="1" customWidth="1"/>
    <col min="15" max="15" width="12.85546875" style="17" bestFit="1" customWidth="1"/>
    <col min="16" max="16" width="14.5703125" style="17" hidden="1" customWidth="1"/>
    <col min="17" max="17" width="14.5703125" style="17" bestFit="1" customWidth="1"/>
    <col min="18" max="18" width="12.85546875" style="17" bestFit="1" customWidth="1"/>
    <col min="19" max="19" width="10.42578125" style="17" bestFit="1" customWidth="1"/>
    <col min="20" max="20" width="13.42578125" style="17" bestFit="1" customWidth="1"/>
    <col min="21" max="21" width="15.140625" style="17" bestFit="1" customWidth="1"/>
    <col min="22" max="22" width="14" style="17" bestFit="1" customWidth="1"/>
    <col min="23" max="23" width="11.85546875" style="17" bestFit="1" customWidth="1"/>
    <col min="24" max="24" width="14.140625" style="17" bestFit="1" customWidth="1"/>
    <col min="25" max="25" width="10.140625" style="17" bestFit="1" customWidth="1"/>
    <col min="26" max="26" width="5.140625" style="17" customWidth="1"/>
    <col min="27" max="29" width="10.140625" style="17" hidden="1" customWidth="1"/>
    <col min="30" max="30" width="11.140625" style="17" hidden="1" customWidth="1"/>
    <col min="31" max="31" width="2.85546875" style="17" hidden="1" customWidth="1"/>
    <col min="32" max="16384" width="9.140625" style="17" hidden="1"/>
  </cols>
  <sheetData>
    <row r="1" spans="2:29" s="16" customFormat="1">
      <c r="B1" s="23"/>
    </row>
    <row r="2" spans="2:29" ht="21">
      <c r="D2" s="115" t="s">
        <v>96</v>
      </c>
      <c r="E2" s="115"/>
      <c r="F2" s="115"/>
      <c r="G2" s="115"/>
      <c r="H2" s="115"/>
    </row>
    <row r="3" spans="2:29">
      <c r="C3" s="64"/>
      <c r="D3" s="65"/>
      <c r="E3" s="65"/>
    </row>
    <row r="4" spans="2:29" s="16" customFormat="1">
      <c r="B4" s="23"/>
      <c r="D4" s="65"/>
      <c r="E4" s="65"/>
      <c r="M4" s="17"/>
      <c r="N4" s="17"/>
      <c r="O4" s="17"/>
      <c r="P4" s="17"/>
      <c r="Q4" s="17"/>
      <c r="R4" s="17"/>
      <c r="S4" s="17"/>
      <c r="T4" s="17"/>
      <c r="U4" s="17"/>
      <c r="V4" s="17"/>
      <c r="W4" s="17"/>
      <c r="X4" s="17"/>
      <c r="Y4" s="17"/>
      <c r="Z4" s="17"/>
      <c r="AA4" s="17"/>
      <c r="AB4" s="17"/>
      <c r="AC4" s="17"/>
    </row>
    <row r="5" spans="2:29" s="16" customFormat="1" ht="90">
      <c r="B5" s="25" t="s">
        <v>2</v>
      </c>
      <c r="C5" s="66" t="s">
        <v>19</v>
      </c>
      <c r="D5" s="66" t="s">
        <v>37</v>
      </c>
      <c r="E5" s="28" t="s">
        <v>20</v>
      </c>
      <c r="F5" s="66" t="s">
        <v>35</v>
      </c>
      <c r="G5" s="66" t="s">
        <v>32</v>
      </c>
      <c r="H5" s="66" t="s">
        <v>33</v>
      </c>
      <c r="I5" s="28" t="s">
        <v>34</v>
      </c>
      <c r="J5" s="28" t="s">
        <v>76</v>
      </c>
      <c r="K5" s="28" t="s">
        <v>36</v>
      </c>
      <c r="L5" s="28" t="s">
        <v>57</v>
      </c>
      <c r="M5" s="66" t="s">
        <v>0</v>
      </c>
      <c r="N5" s="66" t="s">
        <v>39</v>
      </c>
      <c r="O5" s="28" t="s">
        <v>40</v>
      </c>
      <c r="P5" s="28" t="s">
        <v>58</v>
      </c>
      <c r="Q5" s="28" t="s">
        <v>59</v>
      </c>
      <c r="R5" s="66" t="s">
        <v>51</v>
      </c>
      <c r="S5" s="66" t="s">
        <v>53</v>
      </c>
      <c r="T5" s="66" t="s">
        <v>75</v>
      </c>
      <c r="U5" s="28" t="s">
        <v>38</v>
      </c>
      <c r="V5" s="28" t="s">
        <v>41</v>
      </c>
      <c r="W5" s="28" t="s">
        <v>56</v>
      </c>
      <c r="X5" s="28" t="s">
        <v>42</v>
      </c>
      <c r="Y5" s="67" t="s">
        <v>55</v>
      </c>
    </row>
    <row r="6" spans="2:29" s="16" customFormat="1">
      <c r="B6" s="18">
        <f>IF(Table32[[#This Row],[Boiler Code
'[Identity']]]=C5,"",IF(Table32[[#This Row],[Boiler Code
'[Identity']]]=0,"",ROW(Table32[[#This Row],[Boiler Code
'[Identity']]])-ROW(Table32[[#Headers],[Boiler Code
'[Identity']]])))</f>
        <v>1</v>
      </c>
      <c r="C6" s="68" t="s">
        <v>89</v>
      </c>
      <c r="D6" s="68"/>
      <c r="E6" s="22">
        <f>Table32[[#This Row],[Boiler Heating Surface Area
'[m²']]]*10</f>
        <v>0</v>
      </c>
      <c r="F6" s="69">
        <v>3</v>
      </c>
      <c r="G6" s="70">
        <v>7</v>
      </c>
      <c r="H6" s="68">
        <v>170</v>
      </c>
      <c r="I6" s="19">
        <f>IF(Table32[[#This Row],[Steam Pressure
'[bar']]]&gt;0,VLOOKUP(Table32[[#This Row],[Steam Pressure
'[bar']]],Table327[],3,TRUE),0)</f>
        <v>2762.7490827695106</v>
      </c>
      <c r="J6" s="19">
        <f>(Table32[[#This Row],[Specific Enthalpy of Steam
'[kJ/kg']]]/1000)*0.00094708628903179*1000</f>
        <v>2.6165617763261579</v>
      </c>
      <c r="K6" s="19">
        <f>IF(Table32[[#This Row],[Specific Enthalpy of Steam
'[kJ/kg']]]&gt;0,IF(Table32[[#This Row],[Average Steam Production from Steam Flow Meter
'[Ton/h']]]&gt;0,Table32[[#This Row],[Average Steam Production from Steam Flow Meter
'[Ton/h']]],Table32[[#This Row],[Rated Boiler Capacity
'[kWhth']]]/(Table32[[#This Row],[Specific Enthalpy of Steam
'[kJ/kg']]]/3.6)),0)</f>
        <v>3</v>
      </c>
      <c r="L6" s="19">
        <f>Table32[[#This Row],[Calculated Steam Production
'[Ton/h']]]*Table32[[#This Row],[Annual Operation
'[hrs/y']]]</f>
        <v>7959</v>
      </c>
      <c r="M6" s="71">
        <v>2653</v>
      </c>
      <c r="N6" s="68">
        <v>35</v>
      </c>
      <c r="O6" s="19">
        <f>IF(Table32[[#This Row],[Feed Water Temperature
'[⁰C']]]&gt;0,VLOOKUP(Table32[[#This Row],[Feed Water Temperature
'[⁰C']]],Table426[],4,TRUE),0)</f>
        <v>146.73082955997239</v>
      </c>
      <c r="P6" s="20">
        <f>(Table32[[#This Row],[Enthalpy of Feed Water
'[kJ/kg']]]/1000)*0.00094708628903179*1000</f>
        <v>0.13896675685451032</v>
      </c>
      <c r="Q6" s="19">
        <f>(Table32[[#This Row],[Specific Enthalpy of Steam
'[mmBtu/Ton']]]-Table32[[#This Row],[Enthalpy of Feed Water
'[mmBtu/Ton']]])*Table32[[#This Row],[Calculated Steam Production
'[Ton/h']]]*Table32[[#This Row],[Annual Operation
'[hrs/y']]]</f>
        <v>19719.178759974842</v>
      </c>
      <c r="R6" s="68" t="s">
        <v>44</v>
      </c>
      <c r="S6" s="68">
        <v>600</v>
      </c>
      <c r="T6" s="69">
        <v>26483</v>
      </c>
      <c r="U6" s="19">
        <f>IF(Table32[[#This Row],[Annual Fuel Consumption
'[mmbtu/y']]]=0,"",Table32[[#This Row],[Annual Fuel Consumption
'[mmbtu/y']]]/(Table32[[#This Row],[Calculated Steam Production
'[Ton/h']]]*Table32[[#This Row],[Annual Operation
'[hrs/y']]]))</f>
        <v>3.3274280688528708</v>
      </c>
      <c r="V6" s="19">
        <f>IF(Table32[[#This Row],[Annual Operation
'[hrs/y']]]=0,"",Table32[[#This Row],[Annual Fuel Consumption
'[mmbtu/y']]]/Table32[[#This Row],[Annual Operation
'[hrs/y']]])</f>
        <v>9.9822842065586137</v>
      </c>
      <c r="W6" s="19">
        <f>Table32[[#This Row],[Annual Fuel Consumption
'[mmbtu/y']]]*Table32[[#This Row],[Fuel Price '[PKR/ mmbtu']]]/1000000</f>
        <v>15.889799999999999</v>
      </c>
      <c r="X6" s="19">
        <f>IF(Table32[[#This Row],[Calculated Steam Production
'[Ton/y']]]=0,0,Table32[[#This Row],[Total Energy Cost
'[MPKR/y']]]*1000000/Table32[[#This Row],[Calculated Steam Production
'[Ton/y']]])</f>
        <v>1996.4568413117227</v>
      </c>
      <c r="Y6" s="72">
        <f>IF(Table32[[#This Row],[Annual Fuel Consumption
'[mmbtu/y']]]=0,"",Table32[[#This Row],[Average Steam Production from Steam Flow Meter
'[Ton/h']]]*Table32[[#This Row],[Annual Operation
'[hrs/y']]]*(Table32[[#This Row],[Specific Enthalpy of Steam
'[mmBtu/Ton']]]-Table32[[#This Row],[Enthalpy of Feed Water
'[mmBtu/Ton']]])/Table32[[#This Row],[Annual Fuel Consumption
'[mmbtu/y']]])</f>
        <v>0.74459761960407966</v>
      </c>
    </row>
    <row r="7" spans="2:29" s="16" customFormat="1">
      <c r="B7" s="18">
        <f>IF(Table32[[#This Row],[Boiler Code
'[Identity']]]=C6,"",IF(Table32[[#This Row],[Boiler Code
'[Identity']]]=0,"",ROW(Table32[[#This Row],[Boiler Code
'[Identity']]])-ROW(Table32[[#Headers],[Boiler Code
'[Identity']]])))</f>
        <v>2</v>
      </c>
      <c r="C7" s="68" t="s">
        <v>95</v>
      </c>
      <c r="D7" s="68">
        <v>600</v>
      </c>
      <c r="E7" s="22">
        <f>Table32[[#This Row],[Boiler Heating Surface Area
'[m²']]]*10</f>
        <v>6000</v>
      </c>
      <c r="F7" s="69">
        <v>7.5</v>
      </c>
      <c r="G7" s="70">
        <v>7</v>
      </c>
      <c r="H7" s="68">
        <v>175</v>
      </c>
      <c r="I7" s="19">
        <f>IF(Table32[[#This Row],[Steam Pressure
'[bar']]]&gt;0,VLOOKUP(Table32[[#This Row],[Steam Pressure
'[bar']]],Table327[],3,TRUE),0)</f>
        <v>2762.7490827695106</v>
      </c>
      <c r="J7" s="19">
        <f>(Table32[[#This Row],[Specific Enthalpy of Steam
'[kJ/kg']]]/1000)*0.00094708628903179*1000</f>
        <v>2.6165617763261579</v>
      </c>
      <c r="K7" s="19">
        <f>IF(Table32[[#This Row],[Specific Enthalpy of Steam
'[kJ/kg']]]&gt;0,IF(Table32[[#This Row],[Average Steam Production from Steam Flow Meter
'[Ton/h']]]&gt;0,Table32[[#This Row],[Average Steam Production from Steam Flow Meter
'[Ton/h']]],Table32[[#This Row],[Rated Boiler Capacity
'[kWhth']]]/(Table32[[#This Row],[Specific Enthalpy of Steam
'[kJ/kg']]]/3.6)),0)</f>
        <v>7.5</v>
      </c>
      <c r="L7" s="19">
        <f>Table32[[#This Row],[Calculated Steam Production
'[Ton/h']]]*Table32[[#This Row],[Annual Operation
'[hrs/y']]]</f>
        <v>11250</v>
      </c>
      <c r="M7" s="71">
        <v>1500</v>
      </c>
      <c r="N7" s="68">
        <v>35</v>
      </c>
      <c r="O7" s="19">
        <f>IF(Table32[[#This Row],[Feed Water Temperature
'[⁰C']]]&gt;0,VLOOKUP(Table32[[#This Row],[Feed Water Temperature
'[⁰C']]],Table426[],4,TRUE),0)</f>
        <v>146.73082955997239</v>
      </c>
      <c r="P7" s="20">
        <f>(Table32[[#This Row],[Enthalpy of Feed Water
'[kJ/kg']]]/1000)*0.00094708628903179*1000</f>
        <v>0.13896675685451032</v>
      </c>
      <c r="Q7" s="19">
        <f>(Table32[[#This Row],[Specific Enthalpy of Steam
'[mmBtu/Ton']]]-Table32[[#This Row],[Enthalpy of Feed Water
'[mmBtu/Ton']]])*Table32[[#This Row],[Calculated Steam Production
'[Ton/h']]]*Table32[[#This Row],[Annual Operation
'[hrs/y']]]</f>
        <v>27872.943969056032</v>
      </c>
      <c r="R7" s="68" t="s">
        <v>45</v>
      </c>
      <c r="S7" s="68">
        <v>900</v>
      </c>
      <c r="T7" s="69">
        <v>35000</v>
      </c>
      <c r="U7" s="19">
        <f>IF(Table32[[#This Row],[Annual Fuel Consumption
'[mmbtu/y']]]=0,"",Table32[[#This Row],[Annual Fuel Consumption
'[mmbtu/y']]]/(Table32[[#This Row],[Calculated Steam Production
'[Ton/h']]]*Table32[[#This Row],[Annual Operation
'[hrs/y']]]))</f>
        <v>3.1111111111111112</v>
      </c>
      <c r="V7" s="19">
        <f>IF(Table32[[#This Row],[Annual Operation
'[hrs/y']]]=0,"",Table32[[#This Row],[Annual Fuel Consumption
'[mmbtu/y']]]/Table32[[#This Row],[Annual Operation
'[hrs/y']]])</f>
        <v>23.333333333333332</v>
      </c>
      <c r="W7" s="19">
        <f>Table32[[#This Row],[Annual Fuel Consumption
'[mmbtu/y']]]*Table32[[#This Row],[Fuel Price '[PKR/ mmbtu']]]/1000000</f>
        <v>31.5</v>
      </c>
      <c r="X7" s="19">
        <f>IF(Table32[[#This Row],[Calculated Steam Production
'[Ton/y']]]=0,0,Table32[[#This Row],[Total Energy Cost
'[MPKR/y']]]*1000000/Table32[[#This Row],[Calculated Steam Production
'[Ton/y']]])</f>
        <v>2800</v>
      </c>
      <c r="Y7" s="72">
        <f>IF(Table32[[#This Row],[Annual Fuel Consumption
'[mmbtu/y']]]=0,"",Table32[[#This Row],[Average Steam Production from Steam Flow Meter
'[Ton/h']]]*Table32[[#This Row],[Annual Operation
'[hrs/y']]]*(Table32[[#This Row],[Specific Enthalpy of Steam
'[mmBtu/Ton']]]-Table32[[#This Row],[Enthalpy of Feed Water
'[mmBtu/Ton']]])/Table32[[#This Row],[Annual Fuel Consumption
'[mmbtu/y']]])</f>
        <v>0.79636982768731523</v>
      </c>
    </row>
    <row r="8" spans="2:29" s="16" customFormat="1">
      <c r="B8" s="21">
        <f>SUBTOTAL(102,Table32['#])</f>
        <v>2</v>
      </c>
      <c r="C8" s="22"/>
      <c r="D8" s="22"/>
      <c r="E8" s="22">
        <f>SUBTOTAL(109,Table32[Rated Boiler Capacity
'[kWhth']])</f>
        <v>6000</v>
      </c>
      <c r="F8" s="20">
        <f>SUBTOTAL(109,Table32[Average Steam Production from Steam Flow Meter
'[Ton/h']])</f>
        <v>10.5</v>
      </c>
      <c r="G8" s="20"/>
      <c r="H8" s="22"/>
      <c r="I8" s="20"/>
      <c r="J8" s="20"/>
      <c r="K8" s="20">
        <f>SUBTOTAL(109,Table32[Calculated Steam Production
'[Ton/h']])</f>
        <v>10.5</v>
      </c>
      <c r="L8" s="20">
        <f>SUBTOTAL(109,Table32[Calculated Steam Production
'[Ton/y']])</f>
        <v>19209</v>
      </c>
      <c r="M8" s="22">
        <f>SUBTOTAL(101,Table32[Annual Operation
'[hrs/y']])</f>
        <v>2076.5</v>
      </c>
      <c r="N8" s="22"/>
      <c r="O8" s="22"/>
      <c r="P8" s="22"/>
      <c r="Q8" s="20">
        <f>SUBTOTAL(109,Table32[Net Energy Required
'[mmBtu/y']])</f>
        <v>47592.122729030874</v>
      </c>
      <c r="R8" s="22"/>
      <c r="S8" s="22">
        <f>SUBTOTAL(101,Table32[Fuel Price '[PKR/ mmbtu']])</f>
        <v>750</v>
      </c>
      <c r="T8" s="20">
        <f>SUBTOTAL(109,Table32[Annual Fuel Consumption
'[mmbtu/y']])</f>
        <v>61483</v>
      </c>
      <c r="U8" s="20">
        <f>SUBTOTAL(101,Table32[Specific Fuel Consumption
'[mmbtu/Ton']])</f>
        <v>3.219269589981991</v>
      </c>
      <c r="V8" s="20">
        <f>SUBTOTAL(101,Table32[Hourly Fuel Consumption
'[mmbtu/h']])</f>
        <v>16.657808769945973</v>
      </c>
      <c r="W8" s="20">
        <f>SUBTOTAL(109,Table32[Total Energy Cost
'[MPKR/y']])</f>
        <v>47.389800000000001</v>
      </c>
      <c r="X8" s="20">
        <f>Table32[[#Totals],[Total Energy Cost
'[MPKR/y']]]*1000000/Table32[[#Totals],[Calculated Steam Production
'[Ton/y']]]</f>
        <v>2467.0623145400596</v>
      </c>
      <c r="Y8" s="73">
        <f>SUBTOTAL(101,Table32[Net Boiler Efficiency
'[%']])</f>
        <v>0.77048372364569739</v>
      </c>
    </row>
    <row r="9" spans="2:29" s="16" customFormat="1">
      <c r="B9" s="23"/>
    </row>
    <row r="10" spans="2:29" s="16" customFormat="1" hidden="1">
      <c r="B10" s="24"/>
      <c r="C10" s="64"/>
      <c r="D10" s="65"/>
      <c r="E10" s="65"/>
      <c r="F10" s="17"/>
      <c r="G10" s="17"/>
      <c r="H10" s="17"/>
      <c r="I10" s="17"/>
      <c r="J10" s="17"/>
      <c r="K10" s="17"/>
      <c r="L10" s="17"/>
      <c r="M10" s="17"/>
      <c r="N10" s="17"/>
      <c r="O10" s="17"/>
      <c r="P10" s="17"/>
      <c r="Q10" s="17"/>
      <c r="R10" s="17"/>
      <c r="S10" s="17"/>
      <c r="T10" s="17"/>
      <c r="U10" s="17"/>
      <c r="V10" s="17"/>
      <c r="W10" s="17"/>
      <c r="X10" s="17"/>
      <c r="Y10" s="17"/>
    </row>
    <row r="11" spans="2:29" s="16" customFormat="1" hidden="1">
      <c r="B11" s="24"/>
      <c r="C11" s="74"/>
      <c r="D11" s="65"/>
      <c r="E11" s="65"/>
      <c r="F11" s="17"/>
      <c r="G11" s="17"/>
      <c r="H11" s="17"/>
      <c r="I11" s="17"/>
      <c r="J11" s="17"/>
      <c r="K11" s="17"/>
      <c r="L11" s="17"/>
      <c r="M11" s="17"/>
      <c r="N11" s="17"/>
      <c r="O11" s="17"/>
      <c r="P11" s="17"/>
      <c r="Q11" s="17"/>
      <c r="R11" s="17"/>
      <c r="S11" s="17"/>
      <c r="T11" s="17"/>
      <c r="U11" s="17"/>
      <c r="V11" s="17"/>
      <c r="W11" s="17"/>
      <c r="X11" s="17"/>
      <c r="Y11" s="17"/>
    </row>
    <row r="12" spans="2:29" s="16" customFormat="1" hidden="1">
      <c r="B12" s="24"/>
      <c r="C12" s="74"/>
      <c r="D12" s="65"/>
      <c r="E12" s="65"/>
      <c r="F12" s="17"/>
      <c r="G12" s="17"/>
      <c r="H12" s="17"/>
      <c r="I12" s="17"/>
      <c r="J12" s="17"/>
      <c r="K12" s="17"/>
      <c r="L12" s="17"/>
      <c r="M12" s="17"/>
      <c r="N12" s="17"/>
      <c r="O12" s="17"/>
      <c r="P12" s="17"/>
      <c r="Q12" s="17"/>
      <c r="R12" s="17"/>
      <c r="S12" s="17"/>
      <c r="T12" s="17"/>
      <c r="U12" s="17"/>
      <c r="V12" s="17"/>
      <c r="W12" s="17"/>
      <c r="X12" s="17"/>
      <c r="Y12" s="17"/>
    </row>
    <row r="13" spans="2:29" s="16" customFormat="1" hidden="1">
      <c r="B13" s="24"/>
      <c r="C13" s="74"/>
      <c r="D13" s="65"/>
      <c r="E13" s="65"/>
      <c r="F13" s="17"/>
      <c r="G13" s="17"/>
      <c r="H13" s="17"/>
      <c r="I13" s="17"/>
      <c r="J13" s="17"/>
      <c r="K13" s="17"/>
      <c r="L13" s="17"/>
      <c r="M13" s="17"/>
      <c r="N13" s="17"/>
      <c r="O13" s="17"/>
      <c r="P13" s="17"/>
      <c r="Q13" s="17"/>
      <c r="R13" s="17"/>
      <c r="S13" s="17"/>
      <c r="T13" s="17"/>
      <c r="U13" s="17"/>
      <c r="V13" s="17"/>
      <c r="W13" s="17"/>
      <c r="X13" s="17"/>
      <c r="Y13" s="17"/>
    </row>
    <row r="14" spans="2:29" s="16" customFormat="1" hidden="1">
      <c r="B14" s="24"/>
      <c r="C14" s="74"/>
      <c r="D14" s="65"/>
      <c r="E14" s="65"/>
      <c r="F14" s="17"/>
      <c r="G14" s="17"/>
      <c r="H14" s="17"/>
      <c r="I14" s="17"/>
      <c r="J14" s="17"/>
      <c r="K14" s="17"/>
      <c r="L14" s="17"/>
      <c r="M14" s="17"/>
      <c r="N14" s="17"/>
      <c r="O14" s="17"/>
      <c r="P14" s="17"/>
      <c r="Q14" s="17"/>
      <c r="R14" s="17"/>
      <c r="S14" s="17"/>
      <c r="T14" s="17"/>
      <c r="U14" s="17"/>
      <c r="V14" s="17"/>
      <c r="W14" s="17"/>
      <c r="X14" s="17"/>
      <c r="Y14" s="17"/>
    </row>
    <row r="15" spans="2:29" s="16" customFormat="1" hidden="1">
      <c r="B15" s="24"/>
      <c r="C15" s="74"/>
      <c r="D15" s="65"/>
      <c r="E15" s="65"/>
      <c r="F15" s="17"/>
      <c r="G15" s="17"/>
      <c r="H15" s="17"/>
      <c r="I15" s="17"/>
      <c r="J15" s="17"/>
      <c r="K15" s="17"/>
      <c r="L15" s="17"/>
      <c r="M15" s="17"/>
      <c r="N15" s="17"/>
      <c r="O15" s="17"/>
      <c r="P15" s="17"/>
      <c r="Q15" s="17"/>
      <c r="R15" s="17"/>
      <c r="S15" s="17"/>
      <c r="T15" s="17"/>
      <c r="U15" s="17"/>
      <c r="V15" s="17"/>
      <c r="W15" s="17"/>
      <c r="X15" s="17"/>
      <c r="Y15" s="17"/>
    </row>
    <row r="16" spans="2:29" s="16" customFormat="1" hidden="1">
      <c r="B16" s="24"/>
      <c r="C16" s="74"/>
      <c r="D16" s="65"/>
      <c r="E16" s="65"/>
      <c r="F16" s="17"/>
      <c r="G16" s="17"/>
      <c r="H16" s="17"/>
      <c r="I16" s="17"/>
      <c r="J16" s="17"/>
      <c r="K16" s="17"/>
      <c r="L16" s="17"/>
      <c r="M16" s="17"/>
      <c r="N16" s="17"/>
      <c r="O16" s="17"/>
      <c r="P16" s="17"/>
      <c r="Q16" s="17"/>
      <c r="R16" s="17"/>
      <c r="S16" s="17"/>
      <c r="T16" s="17"/>
      <c r="U16" s="17"/>
      <c r="V16" s="17"/>
      <c r="W16" s="17"/>
      <c r="X16" s="17"/>
      <c r="Y16" s="17"/>
    </row>
    <row r="17" spans="2:25" s="16" customFormat="1" hidden="1">
      <c r="B17" s="24"/>
      <c r="C17" s="74"/>
      <c r="D17" s="65"/>
      <c r="E17" s="65"/>
      <c r="F17" s="17"/>
      <c r="G17" s="17"/>
      <c r="H17" s="17"/>
      <c r="I17" s="17"/>
      <c r="J17" s="17"/>
      <c r="K17" s="17"/>
      <c r="L17" s="17"/>
      <c r="M17" s="17"/>
      <c r="N17" s="17"/>
      <c r="O17" s="17"/>
      <c r="P17" s="17"/>
      <c r="Q17" s="17"/>
      <c r="R17" s="17"/>
      <c r="S17" s="17"/>
      <c r="T17" s="17"/>
      <c r="U17" s="17"/>
      <c r="V17" s="17"/>
      <c r="W17" s="17"/>
      <c r="X17" s="17"/>
      <c r="Y17" s="17"/>
    </row>
    <row r="18" spans="2:25" s="16" customFormat="1" hidden="1">
      <c r="B18" s="24"/>
      <c r="C18" s="74"/>
      <c r="D18" s="65"/>
      <c r="E18" s="65"/>
      <c r="F18" s="17"/>
      <c r="G18" s="17"/>
      <c r="H18" s="17"/>
      <c r="I18" s="17"/>
      <c r="J18" s="17"/>
      <c r="K18" s="17"/>
      <c r="L18" s="17"/>
      <c r="M18" s="17"/>
      <c r="N18" s="17"/>
      <c r="O18" s="17"/>
      <c r="P18" s="17"/>
      <c r="Q18" s="17"/>
      <c r="R18" s="17"/>
      <c r="S18" s="17"/>
      <c r="T18" s="17"/>
      <c r="U18" s="17"/>
      <c r="V18" s="17"/>
      <c r="W18" s="17"/>
      <c r="X18" s="17"/>
      <c r="Y18" s="17"/>
    </row>
    <row r="19" spans="2:25" s="16" customFormat="1" hidden="1">
      <c r="B19" s="24"/>
      <c r="C19" s="74"/>
      <c r="D19" s="65"/>
      <c r="E19" s="65"/>
      <c r="F19" s="17"/>
      <c r="G19" s="17"/>
      <c r="H19" s="17"/>
      <c r="I19" s="17"/>
      <c r="J19" s="17"/>
      <c r="K19" s="17"/>
      <c r="L19" s="17"/>
      <c r="M19" s="17"/>
      <c r="N19" s="17"/>
      <c r="O19" s="17"/>
      <c r="P19" s="17"/>
      <c r="Q19" s="17"/>
      <c r="R19" s="17"/>
      <c r="S19" s="17"/>
      <c r="T19" s="17"/>
      <c r="U19" s="17"/>
      <c r="V19" s="17"/>
      <c r="W19" s="17"/>
      <c r="X19" s="17"/>
      <c r="Y19" s="17"/>
    </row>
    <row r="20" spans="2:25" hidden="1">
      <c r="C20" s="74"/>
      <c r="D20" s="65"/>
      <c r="E20" s="65"/>
    </row>
    <row r="21" spans="2:25" hidden="1"/>
    <row r="22" spans="2:25" hidden="1"/>
    <row r="23" spans="2:25" hidden="1"/>
    <row r="24" spans="2:25" hidden="1"/>
    <row r="25" spans="2:25" hidden="1"/>
    <row r="26" spans="2:25" hidden="1"/>
    <row r="27" spans="2:25" hidden="1"/>
    <row r="28" spans="2:25" hidden="1"/>
    <row r="29" spans="2:25" hidden="1"/>
    <row r="30" spans="2:25" hidden="1"/>
    <row r="31" spans="2:25" hidden="1"/>
  </sheetData>
  <sheetProtection password="C5AA" sheet="1" objects="1" scenarios="1" pivotTables="0"/>
  <mergeCells count="1">
    <mergeCell ref="D2:H2"/>
  </mergeCells>
  <pageMargins left="0.25" right="0.25" top="0.75" bottom="0" header="0.3" footer="0.05"/>
  <pageSetup paperSize="9" scale="57" fitToHeight="0" orientation="landscape"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Select Fuel Type">
          <x14:formula1>
            <xm:f>Dropdown!$B$3:$B$9</xm:f>
          </x14:formula1>
          <xm:sqref>R6:R7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vt:lpstr>
      <vt:lpstr>Data Input</vt:lpstr>
      <vt:lpstr>Dropdown</vt:lpstr>
      <vt:lpstr>Boiler Efficiency Dashboard</vt:lpstr>
      <vt:lpstr>Steam and Water Table</vt:lpstr>
      <vt:lpstr>Example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M.Salman</dc:creator>
  <cp:lastModifiedBy>Sarfraz Hussain</cp:lastModifiedBy>
  <cp:lastPrinted>2017-04-12T08:24:17Z</cp:lastPrinted>
  <dcterms:created xsi:type="dcterms:W3CDTF">2017-02-09T10:17:42Z</dcterms:created>
  <dcterms:modified xsi:type="dcterms:W3CDTF">2017-10-26T09:40:25Z</dcterms:modified>
</cp:coreProperties>
</file>